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Funding" sheetId="1" state="visible" r:id="rId1"/>
    <sheet name="Care Team" sheetId="2" state="visible" r:id="rId2"/>
    <sheet name="Expenses" sheetId="3" state="visible" r:id="rId3"/>
    <sheet name="Client Review" sheetId="4" state="visible" r:id="rId4"/>
    <sheet name="Parameters" sheetId="5" state="visible" r:id="rId5"/>
    <sheet name="Guide" sheetId="6" state="visible" r:id="rId6"/>
    <sheet name="Calculations" sheetId="7" state="hidden" r:id="rId7"/>
  </sheets>
  <definedNames>
    <definedName name="Funding_Inputs">'Funding'!$A$10:$L$32</definedName>
    <definedName name="Care_Team">'Care Team'!$A$10:$Q$25</definedName>
    <definedName name="Expenses_Inputs">'Expenses'!$A$10:$L$20</definedName>
    <definedName name="Client_Review">'Client Review'!$A$1:$L$44</definedName>
    <definedName name="Proposal_Name">'Funding'!$I$29</definedName>
    <definedName name="Proposal_Date">'Funding'!$I$30</definedName>
    <definedName name="Proposed_Funding_Rate">'Funding'!$I$12</definedName>
    <definedName name="Proposed_Funded_Hours">'Funding'!$I$13</definedName>
    <definedName name="Proposed_Team">'Care Team'!$J$11:$N$25</definedName>
    <definedName name="Proposed_Expenses">'Expenses'!$E$11:$E$20</definedName>
    <definedName name="Effective_Proposed_Funding">'Calculations'!$C$7:$C$8</definedName>
    <definedName name="Effective_Proposed_Team">'Calculations'!$A$92:$H$106</definedName>
    <definedName name="Effective_Proposed_Expenses">'Expenses'!$F$11:$F$20</definedName>
    <definedName name="_xlnm.Print_Titles" localSheetId="0">'Funding'!$1:$8</definedName>
    <definedName name="_xlnm.Print_Area" localSheetId="0">'Funding'!$A$1:$L$34</definedName>
    <definedName name="_xlnm.Print_Titles" localSheetId="1">'Care Team'!$1:$8</definedName>
    <definedName name="_xlnm.Print_Area" localSheetId="1">'Care Team'!$A$1:$Q$27</definedName>
    <definedName name="_xlnm.Print_Titles" localSheetId="2">'Expenses'!$1:$8</definedName>
    <definedName name="_xlnm.Print_Area" localSheetId="2">'Expenses'!$A$1:$L$24</definedName>
    <definedName name="_xlnm.Print_Titles" localSheetId="3">'Client Review'!$1:$8</definedName>
    <definedName name="_xlnm.Print_Area" localSheetId="3">'Client Review'!$A$1:$L$44</definedName>
    <definedName name="_xlnm._FilterDatabase" localSheetId="4" hidden="1">'Parameters'!$A$3:$J$44</definedName>
    <definedName name="_xlnm.Print_Titles" localSheetId="4">'Parameters'!$1:$3</definedName>
    <definedName name="_xlnm.Print_Area" localSheetId="5">'Guide'!$A$1:$B$13</definedName>
  </definedNames>
  <calcPr calcId="124519" calcMode="auto" fullCalcOnLoad="1"/>
</workbook>
</file>

<file path=xl/styles.xml><?xml version="1.0" encoding="utf-8"?>
<styleSheet xmlns="http://schemas.openxmlformats.org/spreadsheetml/2006/main">
  <numFmts count="3">
    <numFmt numFmtId="164" formatCode="&quot;$&quot;#,##0.00"/>
    <numFmt numFmtId="165" formatCode="yyyy-mm-dd h:mm:ss"/>
    <numFmt numFmtId="166" formatCode="yyyy-mm-dd"/>
  </numFmts>
  <fonts count="22">
    <font>
      <name val="Calibri"/>
      <family val="2"/>
      <color theme="1"/>
      <sz val="11"/>
      <scheme val="minor"/>
    </font>
    <font>
      <name val="Arial"/>
      <b val="1"/>
      <color rgb="00FFFFFF"/>
      <sz val="17"/>
    </font>
    <font>
      <name val="Arial"/>
      <b val="1"/>
      <color rgb="0053405F"/>
      <sz val="11"/>
    </font>
    <font>
      <name val="Arial"/>
      <b val="1"/>
      <color rgb="0053405F"/>
      <sz val="9"/>
    </font>
    <font>
      <name val="Arial"/>
      <b val="1"/>
      <color rgb="003E3A3A"/>
      <sz val="12"/>
    </font>
    <font>
      <name val="Arial"/>
      <b val="1"/>
      <color rgb="003E3A3A"/>
      <sz val="14"/>
    </font>
    <font>
      <name val="Arial"/>
      <b val="1"/>
      <color rgb="0053405F"/>
      <sz val="10"/>
    </font>
    <font>
      <name val="Arial"/>
      <b val="1"/>
      <color rgb="003E3A3A"/>
      <sz val="15"/>
    </font>
    <font>
      <name val="Arial"/>
      <color rgb="003E3A3A"/>
      <sz val="10"/>
    </font>
    <font>
      <name val="Arial"/>
      <b val="1"/>
      <color rgb="002F6B3C"/>
      <sz val="10"/>
    </font>
    <font>
      <name val="Arial"/>
      <b val="1"/>
      <color rgb="003E3A3A"/>
      <sz val="11"/>
    </font>
    <font>
      <name val="Arial"/>
      <color rgb="00234F7C"/>
      <sz val="11"/>
    </font>
    <font>
      <name val="Arial"/>
      <i val="1"/>
      <color rgb="00655F65"/>
      <sz val="10"/>
    </font>
    <font>
      <name val="Arial"/>
      <b val="1"/>
      <color rgb="0053405F"/>
      <sz val="12"/>
    </font>
    <font>
      <name val="Arial"/>
      <color rgb="003E3A3A"/>
      <sz val="11"/>
    </font>
    <font>
      <name val="Arial"/>
      <color rgb="00655F65"/>
      <sz val="10"/>
    </font>
    <font>
      <name val="Arial"/>
      <b val="1"/>
      <color rgb="00234F7C"/>
      <sz val="11"/>
    </font>
    <font>
      <name val="Arial"/>
      <b val="1"/>
      <color rgb="0053405F"/>
      <sz val="16"/>
    </font>
    <font>
      <name val="Arial"/>
      <b val="1"/>
      <color rgb="001F4E79"/>
      <sz val="9"/>
    </font>
    <font>
      <name val="Arial"/>
      <b val="1"/>
      <color rgb="0053405F"/>
      <sz val="18"/>
    </font>
    <font>
      <name val="Arial"/>
      <sz val="11"/>
    </font>
    <font>
      <name val="Arial"/>
      <b val="1"/>
      <color rgb="0053405F"/>
      <sz val="14"/>
    </font>
  </fonts>
  <fills count="9">
    <fill>
      <patternFill/>
    </fill>
    <fill>
      <patternFill patternType="gray125"/>
    </fill>
    <fill>
      <patternFill patternType="solid">
        <fgColor rgb="0053405F"/>
      </patternFill>
    </fill>
    <fill>
      <patternFill patternType="solid">
        <fgColor rgb="00F8F3EA"/>
      </patternFill>
    </fill>
    <fill>
      <patternFill patternType="solid">
        <fgColor rgb="00EEE8F2"/>
      </patternFill>
    </fill>
    <fill>
      <patternFill patternType="solid">
        <fgColor rgb="00E7F3EA"/>
      </patternFill>
    </fill>
    <fill>
      <patternFill patternType="solid">
        <fgColor rgb="00EDF4FC"/>
      </patternFill>
    </fill>
    <fill>
      <patternFill patternType="solid">
        <fgColor rgb="00F2F2F2"/>
      </patternFill>
    </fill>
    <fill>
      <patternFill patternType="solid">
        <fgColor rgb="00D9EAF7"/>
      </patternFill>
    </fill>
  </fills>
  <borders count="18">
    <border>
      <left/>
      <right/>
      <top/>
      <bottom/>
      <diagonal/>
    </border>
    <border/>
    <border>
      <left style="thin">
        <color rgb="00D7D1CB"/>
      </left>
      <right style="thin">
        <color rgb="00D7D1CB"/>
      </right>
      <top style="thin">
        <color rgb="00D7D1CB"/>
      </top>
      <bottom style="thin">
        <color rgb="00D7D1CB"/>
      </bottom>
    </border>
    <border>
      <left style="thin">
        <color rgb="00234F7C"/>
      </left>
      <right style="thin">
        <color rgb="00234F7C"/>
      </right>
      <top style="thin">
        <color rgb="00234F7C"/>
      </top>
      <bottom style="thin">
        <color rgb="00234F7C"/>
      </bottom>
    </border>
    <border>
      <left/>
      <right/>
      <top style="thin">
        <color rgb="00D7D1CB"/>
      </top>
      <bottom/>
      <diagonal/>
    </border>
    <border>
      <left/>
      <right style="thin">
        <color rgb="00D7D1CB"/>
      </right>
      <top style="thin">
        <color rgb="00D7D1CB"/>
      </top>
      <bottom/>
      <diagonal/>
    </border>
    <border>
      <left/>
      <right/>
      <top style="thin">
        <color rgb="00D7D1CB"/>
      </top>
      <bottom style="thin">
        <color rgb="00D7D1CB"/>
      </bottom>
      <diagonal/>
    </border>
    <border>
      <left/>
      <right style="thin">
        <color rgb="00D7D1CB"/>
      </right>
      <top style="thin">
        <color rgb="00D7D1CB"/>
      </top>
      <bottom style="thin">
        <color rgb="00D7D1CB"/>
      </bottom>
      <diagonal/>
    </border>
    <border>
      <left style="thin">
        <color rgb="00B0B0B0"/>
      </left>
      <right style="thin">
        <color rgb="00B0B0B0"/>
      </right>
      <top style="thin">
        <color rgb="00B0B0B0"/>
      </top>
      <bottom style="thin">
        <color rgb="00B0B0B0"/>
      </bottom>
    </border>
    <border>
      <left style="thin">
        <color rgb="00234F7C"/>
      </left>
      <right style="thin">
        <color rgb="00234F7C"/>
      </right>
      <top style="thin">
        <color rgb="00234F7C"/>
      </top>
      <bottom style="thin">
        <color rgb="00D7D1CB"/>
      </bottom>
    </border>
    <border>
      <left style="medium">
        <color rgb="0053405F"/>
      </left>
      <right style="thin">
        <color rgb="00234F7C"/>
      </right>
      <top style="thin">
        <color rgb="00234F7C"/>
      </top>
      <bottom style="thin">
        <color rgb="00D7D1CB"/>
      </bottom>
    </border>
    <border>
      <left style="thin">
        <color rgb="00D7D1CB"/>
      </left>
      <right style="thin">
        <color rgb="00D7D1CB"/>
      </right>
      <top style="thin">
        <color rgb="00D7D1CB"/>
      </top>
      <bottom style="medium">
        <color rgb="00B08D57"/>
      </bottom>
    </border>
    <border>
      <left style="thin">
        <color rgb="00234F7C"/>
      </left>
      <right style="thin">
        <color rgb="00234F7C"/>
      </right>
      <top style="thin">
        <color rgb="00234F7C"/>
      </top>
      <bottom style="medium">
        <color rgb="00B08D57"/>
      </bottom>
    </border>
    <border>
      <left style="medium">
        <color rgb="0053405F"/>
      </left>
      <right style="thin">
        <color rgb="00234F7C"/>
      </right>
      <top style="thin">
        <color rgb="00234F7C"/>
      </top>
      <bottom style="medium">
        <color rgb="00B08D57"/>
      </bottom>
    </border>
    <border>
      <left/>
      <right/>
      <top style="thin">
        <color rgb="00B0B0B0"/>
      </top>
      <bottom/>
      <diagonal/>
    </border>
    <border>
      <left/>
      <right style="thin">
        <color rgb="00B0B0B0"/>
      </right>
      <top style="thin">
        <color rgb="00B0B0B0"/>
      </top>
      <bottom/>
      <diagonal/>
    </border>
    <border>
      <left/>
      <right style="thin">
        <color rgb="00B0B0B0"/>
      </right>
      <top style="thin">
        <color rgb="00B0B0B0"/>
      </top>
      <bottom style="thin">
        <color rgb="00B0B0B0"/>
      </bottom>
      <diagonal/>
    </border>
    <border>
      <left/>
      <right/>
      <top style="thin">
        <color rgb="00B0B0B0"/>
      </top>
      <bottom style="thin">
        <color rgb="00B0B0B0"/>
      </bottom>
      <diagonal/>
    </border>
  </borders>
  <cellStyleXfs count="1">
    <xf numFmtId="0" fontId="0" fillId="0" borderId="0"/>
  </cellStyleXfs>
  <cellXfs count="99">
    <xf numFmtId="0" fontId="0" fillId="0" borderId="0" pivotButton="0" quotePrefix="0" xfId="0"/>
    <xf numFmtId="0" fontId="1" fillId="2" borderId="1" applyAlignment="1" pivotButton="0" quotePrefix="0" xfId="0">
      <alignment horizontal="left" vertical="center"/>
    </xf>
    <xf numFmtId="0" fontId="0" fillId="2" borderId="1" pivotButton="0" quotePrefix="0" xfId="0"/>
    <xf numFmtId="0" fontId="2" fillId="3" borderId="2" applyAlignment="1" pivotButton="0" quotePrefix="0" xfId="0">
      <alignment horizontal="center" vertical="center"/>
    </xf>
    <xf numFmtId="0" fontId="0" fillId="3" borderId="2" pivotButton="0" quotePrefix="0" xfId="0"/>
    <xf numFmtId="0" fontId="2" fillId="4" borderId="2" applyAlignment="1" pivotButton="0" quotePrefix="0" xfId="0">
      <alignment horizontal="center" vertical="center"/>
    </xf>
    <xf numFmtId="0" fontId="0" fillId="4" borderId="2" pivotButton="0" quotePrefix="0" xfId="0"/>
    <xf numFmtId="0" fontId="3" fillId="3" borderId="2" applyAlignment="1" pivotButton="0" quotePrefix="0" xfId="0">
      <alignment horizontal="center" vertical="center" wrapText="1"/>
    </xf>
    <xf numFmtId="0" fontId="3" fillId="4" borderId="2" applyAlignment="1" pivotButton="0" quotePrefix="0" xfId="0">
      <alignment horizontal="center" vertical="center" wrapText="1"/>
    </xf>
    <xf numFmtId="164" fontId="4" fillId="3" borderId="2" applyAlignment="1" pivotButton="0" quotePrefix="0" xfId="0">
      <alignment horizontal="center" vertical="center"/>
    </xf>
    <xf numFmtId="4" fontId="4" fillId="3" borderId="2" applyAlignment="1" pivotButton="0" quotePrefix="0" xfId="0">
      <alignment horizontal="center" vertical="center"/>
    </xf>
    <xf numFmtId="164" fontId="5" fillId="3" borderId="2" applyAlignment="1" pivotButton="0" quotePrefix="0" xfId="0">
      <alignment horizontal="center" vertical="center"/>
    </xf>
    <xf numFmtId="164" fontId="4" fillId="4" borderId="2" applyAlignment="1" pivotButton="0" quotePrefix="0" xfId="0">
      <alignment horizontal="center" vertical="center"/>
    </xf>
    <xf numFmtId="4" fontId="4" fillId="4" borderId="2" applyAlignment="1" pivotButton="0" quotePrefix="0" xfId="0">
      <alignment horizontal="center" vertical="center"/>
    </xf>
    <xf numFmtId="164" fontId="5" fillId="4" borderId="2" applyAlignment="1" pivotButton="0" quotePrefix="0" xfId="0">
      <alignment horizontal="center" vertical="center"/>
    </xf>
    <xf numFmtId="0" fontId="6" fillId="3" borderId="2" applyAlignment="1" pivotButton="0" quotePrefix="0" xfId="0">
      <alignment horizontal="center" vertical="center"/>
    </xf>
    <xf numFmtId="0" fontId="6" fillId="4" borderId="2" applyAlignment="1" pivotButton="0" quotePrefix="0" xfId="0">
      <alignment horizontal="center" vertical="center"/>
    </xf>
    <xf numFmtId="164" fontId="7" fillId="3" borderId="2" applyAlignment="1" pivotButton="0" quotePrefix="0" xfId="0">
      <alignment horizontal="center" vertical="center"/>
    </xf>
    <xf numFmtId="164" fontId="7" fillId="4" borderId="2" applyAlignment="1" pivotButton="0" quotePrefix="0" xfId="0">
      <alignment horizontal="center" vertical="center"/>
    </xf>
    <xf numFmtId="0" fontId="8" fillId="3" borderId="2" applyAlignment="1" pivotButton="0" quotePrefix="0" xfId="0">
      <alignment horizontal="center" vertical="center"/>
    </xf>
    <xf numFmtId="0" fontId="8" fillId="4" borderId="2" applyAlignment="1" pivotButton="0" quotePrefix="0" xfId="0">
      <alignment horizontal="center" vertical="center"/>
    </xf>
    <xf numFmtId="0" fontId="9" fillId="5" borderId="2" applyAlignment="1" pivotButton="0" quotePrefix="0" xfId="0">
      <alignment horizontal="center" vertical="center"/>
    </xf>
    <xf numFmtId="0" fontId="0" fillId="5" borderId="2" pivotButton="0" quotePrefix="0" xfId="0"/>
    <xf numFmtId="0" fontId="2" fillId="3" borderId="0" applyAlignment="1" pivotButton="0" quotePrefix="0" xfId="0">
      <alignment horizontal="left" vertical="center" wrapText="1"/>
    </xf>
    <xf numFmtId="0" fontId="2" fillId="4" borderId="0" applyAlignment="1" pivotButton="0" quotePrefix="0" xfId="0">
      <alignment horizontal="left" vertical="center" wrapText="1"/>
    </xf>
    <xf numFmtId="0" fontId="10" fillId="0" borderId="0" pivotButton="0" quotePrefix="0" xfId="0"/>
    <xf numFmtId="164" fontId="11" fillId="6" borderId="3" applyAlignment="1" applyProtection="1" pivotButton="0" quotePrefix="0" xfId="0">
      <alignment horizontal="right" vertical="center" wrapText="1"/>
      <protection locked="0" hidden="0"/>
    </xf>
    <xf numFmtId="4" fontId="11" fillId="6" borderId="3" applyAlignment="1" applyProtection="1" pivotButton="0" quotePrefix="0" xfId="0">
      <alignment horizontal="left" vertical="center" wrapText="1"/>
      <protection locked="0" hidden="0"/>
    </xf>
    <xf numFmtId="164" fontId="10" fillId="3" borderId="2" applyAlignment="1" pivotButton="0" quotePrefix="0" xfId="0">
      <alignment horizontal="right" vertical="center" wrapText="1"/>
    </xf>
    <xf numFmtId="164" fontId="10" fillId="4" borderId="2" applyAlignment="1" pivotButton="0" quotePrefix="0" xfId="0">
      <alignment horizontal="right" vertical="center" wrapText="1"/>
    </xf>
    <xf numFmtId="0" fontId="12" fillId="0" borderId="0" applyAlignment="1" pivotButton="0" quotePrefix="0" xfId="0">
      <alignment vertical="center" wrapText="1"/>
    </xf>
    <xf numFmtId="0" fontId="13" fillId="0" borderId="0" applyAlignment="1" pivotButton="0" quotePrefix="0" xfId="0">
      <alignment vertical="center"/>
    </xf>
    <xf numFmtId="0" fontId="15" fillId="7" borderId="2" applyAlignment="1" pivotButton="0" quotePrefix="0" xfId="0">
      <alignment vertical="center" wrapText="1"/>
    </xf>
    <xf numFmtId="0" fontId="11" fillId="6" borderId="3" applyAlignment="1" applyProtection="1" pivotButton="0" quotePrefix="0" xfId="0">
      <alignment horizontal="left" vertical="center" wrapText="1"/>
      <protection locked="0" hidden="0"/>
    </xf>
    <xf numFmtId="164" fontId="14" fillId="3" borderId="2" applyAlignment="1" pivotButton="0" quotePrefix="0" xfId="0">
      <alignment horizontal="right" vertical="center" wrapText="1"/>
    </xf>
    <xf numFmtId="164" fontId="14" fillId="4" borderId="2" applyAlignment="1" pivotButton="0" quotePrefix="0" xfId="0">
      <alignment horizontal="right" vertical="center" wrapText="1"/>
    </xf>
    <xf numFmtId="166" fontId="11" fillId="6" borderId="3" applyAlignment="1" applyProtection="1" pivotButton="0" quotePrefix="0" xfId="0">
      <alignment horizontal="left" vertical="center" wrapText="1"/>
      <protection locked="0" hidden="0"/>
    </xf>
    <xf numFmtId="0" fontId="14" fillId="3" borderId="2" applyAlignment="1" pivotButton="0" quotePrefix="0" xfId="0">
      <alignment vertical="center" wrapText="1"/>
    </xf>
    <xf numFmtId="0" fontId="0" fillId="0" borderId="6" pivotButton="0" quotePrefix="0" xfId="0"/>
    <xf numFmtId="0" fontId="0" fillId="0" borderId="7" pivotButton="0" quotePrefix="0" xfId="0"/>
    <xf numFmtId="0" fontId="6" fillId="3" borderId="0" applyAlignment="1" pivotButton="0" quotePrefix="0" xfId="0">
      <alignment horizontal="center" vertical="center"/>
    </xf>
    <xf numFmtId="0" fontId="6" fillId="4" borderId="0" applyAlignment="1" pivotButton="0" quotePrefix="0" xfId="0">
      <alignment horizontal="center" vertical="center"/>
    </xf>
    <xf numFmtId="0" fontId="6" fillId="7" borderId="0" applyAlignment="1" pivotButton="0" quotePrefix="0" xfId="0">
      <alignment horizontal="center" vertical="center"/>
    </xf>
    <xf numFmtId="0" fontId="2" fillId="3" borderId="8" applyAlignment="1" pivotButton="0" quotePrefix="0" xfId="0">
      <alignment horizontal="center" vertical="center" wrapText="1"/>
    </xf>
    <xf numFmtId="0" fontId="2" fillId="4" borderId="8" applyAlignment="1" pivotButton="0" quotePrefix="0" xfId="0">
      <alignment horizontal="center" vertical="center" wrapText="1"/>
    </xf>
    <xf numFmtId="0" fontId="14" fillId="3" borderId="2" applyAlignment="1" pivotButton="0" quotePrefix="0" xfId="0">
      <alignment horizontal="left" vertical="center" wrapText="1"/>
    </xf>
    <xf numFmtId="0" fontId="16" fillId="6" borderId="9" applyAlignment="1" applyProtection="1" pivotButton="0" quotePrefix="0" xfId="0">
      <alignment horizontal="left" vertical="center" wrapText="1"/>
      <protection locked="0" hidden="0"/>
    </xf>
    <xf numFmtId="0" fontId="11" fillId="6" borderId="9" applyAlignment="1" applyProtection="1" pivotButton="0" quotePrefix="0" xfId="0">
      <alignment horizontal="left" vertical="center" wrapText="1"/>
      <protection locked="0" hidden="0"/>
    </xf>
    <xf numFmtId="0" fontId="11" fillId="6" borderId="10" applyAlignment="1" applyProtection="1" pivotButton="0" quotePrefix="0" xfId="0">
      <alignment horizontal="center" vertical="center" wrapText="1"/>
      <protection locked="0" hidden="0"/>
    </xf>
    <xf numFmtId="4" fontId="11" fillId="6" borderId="9" applyAlignment="1" applyProtection="1" pivotButton="0" quotePrefix="0" xfId="0">
      <alignment horizontal="center" vertical="center" wrapText="1"/>
      <protection locked="0" hidden="0"/>
    </xf>
    <xf numFmtId="164" fontId="11" fillId="6" borderId="9" applyAlignment="1" applyProtection="1" pivotButton="0" quotePrefix="0" xfId="0">
      <alignment horizontal="right" vertical="center" wrapText="1"/>
      <protection locked="0" hidden="0"/>
    </xf>
    <xf numFmtId="10" fontId="11" fillId="6" borderId="9" applyAlignment="1" applyProtection="1" pivotButton="0" quotePrefix="0" xfId="0">
      <alignment horizontal="center" vertical="center" wrapText="1"/>
      <protection locked="0" hidden="0"/>
    </xf>
    <xf numFmtId="0" fontId="11" fillId="6" borderId="10" applyAlignment="1" applyProtection="1" pivotButton="0" quotePrefix="0" xfId="0">
      <alignment horizontal="left" vertical="center" wrapText="1"/>
      <protection locked="0" hidden="0"/>
    </xf>
    <xf numFmtId="164" fontId="10" fillId="3" borderId="2" applyAlignment="1" pivotButton="0" quotePrefix="0" xfId="0">
      <alignment horizontal="right" vertical="center" wrapText="1"/>
    </xf>
    <xf numFmtId="164" fontId="10" fillId="4" borderId="2" applyAlignment="1" pivotButton="0" quotePrefix="0" xfId="0">
      <alignment horizontal="right" vertical="center" wrapText="1"/>
    </xf>
    <xf numFmtId="0" fontId="14" fillId="3" borderId="11" applyAlignment="1" pivotButton="0" quotePrefix="0" xfId="0">
      <alignment horizontal="left" vertical="center" wrapText="1"/>
    </xf>
    <xf numFmtId="0" fontId="16" fillId="6" borderId="12" applyAlignment="1" applyProtection="1" pivotButton="0" quotePrefix="0" xfId="0">
      <alignment horizontal="left" vertical="center" wrapText="1"/>
      <protection locked="0" hidden="0"/>
    </xf>
    <xf numFmtId="0" fontId="11" fillId="6" borderId="12" applyAlignment="1" applyProtection="1" pivotButton="0" quotePrefix="0" xfId="0">
      <alignment horizontal="left" vertical="center" wrapText="1"/>
      <protection locked="0" hidden="0"/>
    </xf>
    <xf numFmtId="0" fontId="11" fillId="6" borderId="13" applyAlignment="1" applyProtection="1" pivotButton="0" quotePrefix="0" xfId="0">
      <alignment horizontal="center" vertical="center" wrapText="1"/>
      <protection locked="0" hidden="0"/>
    </xf>
    <xf numFmtId="4" fontId="11" fillId="6" borderId="12" applyAlignment="1" applyProtection="1" pivotButton="0" quotePrefix="0" xfId="0">
      <alignment horizontal="center" vertical="center" wrapText="1"/>
      <protection locked="0" hidden="0"/>
    </xf>
    <xf numFmtId="164" fontId="11" fillId="6" borderId="12" applyAlignment="1" applyProtection="1" pivotButton="0" quotePrefix="0" xfId="0">
      <alignment horizontal="right" vertical="center" wrapText="1"/>
      <protection locked="0" hidden="0"/>
    </xf>
    <xf numFmtId="10" fontId="11" fillId="6" borderId="12" applyAlignment="1" applyProtection="1" pivotButton="0" quotePrefix="0" xfId="0">
      <alignment horizontal="center" vertical="center" wrapText="1"/>
      <protection locked="0" hidden="0"/>
    </xf>
    <xf numFmtId="0" fontId="11" fillId="6" borderId="13" applyAlignment="1" applyProtection="1" pivotButton="0" quotePrefix="0" xfId="0">
      <alignment horizontal="left" vertical="center" wrapText="1"/>
      <protection locked="0" hidden="0"/>
    </xf>
    <xf numFmtId="164" fontId="10" fillId="3" borderId="11" applyAlignment="1" pivotButton="0" quotePrefix="0" xfId="0">
      <alignment horizontal="right" vertical="center" wrapText="1"/>
    </xf>
    <xf numFmtId="164" fontId="10" fillId="4" borderId="11" applyAlignment="1" pivotButton="0" quotePrefix="0" xfId="0">
      <alignment horizontal="right" vertical="center" wrapText="1"/>
    </xf>
    <xf numFmtId="0" fontId="0" fillId="0" borderId="16" pivotButton="0" quotePrefix="0" xfId="0"/>
    <xf numFmtId="0" fontId="2" fillId="0" borderId="1" applyAlignment="1" pivotButton="0" quotePrefix="0" xfId="0">
      <alignment horizontal="center" vertical="center" wrapText="1"/>
    </xf>
    <xf numFmtId="0" fontId="2" fillId="7" borderId="8" applyAlignment="1" pivotButton="0" quotePrefix="0" xfId="0">
      <alignment horizontal="center" vertical="center" wrapText="1"/>
    </xf>
    <xf numFmtId="0" fontId="0" fillId="7" borderId="17" pivotButton="0" quotePrefix="0" xfId="0"/>
    <xf numFmtId="0" fontId="0" fillId="7" borderId="16" pivotButton="0" quotePrefix="0" xfId="0"/>
    <xf numFmtId="0" fontId="14" fillId="4" borderId="2" applyAlignment="1" pivotButton="0" quotePrefix="0" xfId="0">
      <alignment vertical="center" wrapText="1"/>
    </xf>
    <xf numFmtId="0" fontId="10" fillId="3" borderId="2" applyAlignment="1" pivotButton="0" quotePrefix="0" xfId="0">
      <alignment horizontal="left" vertical="center" wrapText="1"/>
    </xf>
    <xf numFmtId="164" fontId="14" fillId="3" borderId="2" applyAlignment="1" pivotButton="0" quotePrefix="0" xfId="0">
      <alignment horizontal="right" vertical="center" wrapText="1"/>
    </xf>
    <xf numFmtId="164" fontId="14" fillId="4" borderId="2" applyAlignment="1" pivotButton="0" quotePrefix="0" xfId="0">
      <alignment horizontal="right" vertical="center" wrapText="1"/>
    </xf>
    <xf numFmtId="4" fontId="14" fillId="3" borderId="2" applyAlignment="1" pivotButton="0" quotePrefix="0" xfId="0">
      <alignment horizontal="right" vertical="center" wrapText="1"/>
    </xf>
    <xf numFmtId="4" fontId="14" fillId="4" borderId="2" applyAlignment="1" pivotButton="0" quotePrefix="0" xfId="0">
      <alignment horizontal="right" vertical="center" wrapText="1"/>
    </xf>
    <xf numFmtId="0" fontId="14" fillId="7" borderId="2" applyAlignment="1" pivotButton="0" quotePrefix="0" xfId="0">
      <alignment vertical="center" wrapText="1"/>
    </xf>
    <xf numFmtId="0" fontId="12" fillId="0" borderId="0" applyAlignment="1" pivotButton="0" quotePrefix="0" xfId="0">
      <alignment vertical="center"/>
    </xf>
    <xf numFmtId="0" fontId="17" fillId="0" borderId="0" pivotButton="0" quotePrefix="0" xfId="0"/>
    <xf numFmtId="0" fontId="0" fillId="0" borderId="0" applyAlignment="1" pivotButton="0" quotePrefix="0" xfId="0">
      <alignment vertical="top" wrapText="1"/>
    </xf>
    <xf numFmtId="0" fontId="18" fillId="3" borderId="2" applyAlignment="1" pivotButton="0" quotePrefix="0" xfId="0">
      <alignment vertical="top" wrapText="1"/>
    </xf>
    <xf numFmtId="0" fontId="14" fillId="3" borderId="2" applyAlignment="1" pivotButton="0" quotePrefix="0" xfId="0">
      <alignment vertical="top" wrapText="1"/>
    </xf>
    <xf numFmtId="10" fontId="11" fillId="6" borderId="3" applyAlignment="1" applyProtection="1" pivotButton="0" quotePrefix="0" xfId="0">
      <alignment vertical="top" wrapText="1"/>
      <protection locked="0" hidden="0"/>
    </xf>
    <xf numFmtId="0" fontId="11" fillId="6" borderId="3" applyAlignment="1" applyProtection="1" pivotButton="0" quotePrefix="0" xfId="0">
      <alignment vertical="top" wrapText="1"/>
      <protection locked="0" hidden="0"/>
    </xf>
    <xf numFmtId="164" fontId="11" fillId="6" borderId="3" applyAlignment="1" applyProtection="1" pivotButton="0" quotePrefix="0" xfId="0">
      <alignment vertical="top" wrapText="1"/>
      <protection locked="0" hidden="0"/>
    </xf>
    <xf numFmtId="4" fontId="11" fillId="6" borderId="3" applyAlignment="1" applyProtection="1" pivotButton="0" quotePrefix="0" xfId="0">
      <alignment vertical="top" wrapText="1"/>
      <protection locked="0" hidden="0"/>
    </xf>
    <xf numFmtId="4" fontId="14" fillId="3" borderId="2" applyAlignment="1" pivotButton="0" quotePrefix="0" xfId="0">
      <alignment vertical="top" wrapText="1"/>
    </xf>
    <xf numFmtId="164" fontId="14" fillId="3" borderId="2" applyAlignment="1" pivotButton="0" quotePrefix="0" xfId="0">
      <alignment vertical="top" wrapText="1"/>
    </xf>
    <xf numFmtId="0" fontId="0" fillId="0" borderId="0" applyAlignment="1" pivotButton="0" quotePrefix="0" xfId="0">
      <alignment wrapText="1"/>
    </xf>
    <xf numFmtId="0" fontId="19" fillId="0" borderId="0" pivotButton="0" quotePrefix="0" xfId="0"/>
    <xf numFmtId="0" fontId="13" fillId="8" borderId="0" applyAlignment="1" pivotButton="0" quotePrefix="0" xfId="0">
      <alignment vertical="top" wrapText="1"/>
    </xf>
    <xf numFmtId="0" fontId="20" fillId="7" borderId="0" applyAlignment="1" pivotButton="0" quotePrefix="0" xfId="0">
      <alignment vertical="top" wrapText="1"/>
    </xf>
    <xf numFmtId="0" fontId="21" fillId="0" borderId="0" pivotButton="0" quotePrefix="0" xfId="0"/>
    <xf numFmtId="0" fontId="13" fillId="0" borderId="0" pivotButton="0" quotePrefix="0" xfId="0"/>
    <xf numFmtId="4" fontId="14" fillId="3" borderId="2" applyAlignment="1" pivotButton="0" quotePrefix="0" xfId="0">
      <alignment horizontal="left" vertical="center" wrapText="1"/>
    </xf>
    <xf numFmtId="10" fontId="14" fillId="3" borderId="2" applyAlignment="1" pivotButton="0" quotePrefix="0" xfId="0">
      <alignment horizontal="right" vertical="center" wrapText="1"/>
    </xf>
    <xf numFmtId="0" fontId="14" fillId="3" borderId="2" applyAlignment="1" pivotButton="0" quotePrefix="0" xfId="0">
      <alignment horizontal="left" vertical="center" wrapText="1"/>
    </xf>
    <xf numFmtId="1" fontId="14" fillId="3" borderId="2" applyAlignment="1" pivotButton="0" quotePrefix="0" xfId="0">
      <alignment horizontal="left" vertical="center" wrapText="1"/>
    </xf>
    <xf numFmtId="10" fontId="14" fillId="3" borderId="2" applyAlignment="1" pivotButton="0" quotePrefix="0" xfId="0">
      <alignment horizontal="left" vertical="center" wrapText="1"/>
    </xf>
  </cellXfs>
  <cellStyles count="1">
    <cellStyle name="Normal" xfId="0" builtinId="0" hidden="0"/>
  </cellStyles>
  <dxfs count="3">
    <dxf>
      <font>
        <name val="Arial"/>
        <b val="1"/>
        <color rgb="002F6B3C"/>
      </font>
      <fill>
        <patternFill patternType="solid">
          <fgColor rgb="00E7F3EA"/>
        </patternFill>
      </fill>
    </dxf>
    <dxf>
      <font>
        <name val="Arial"/>
        <b val="1"/>
        <color rgb="008B2635"/>
      </font>
      <fill>
        <patternFill patternType="solid">
          <fgColor rgb="00F8D7DA"/>
        </patternFill>
      </fill>
    </dxf>
    <dxf>
      <font>
        <name val="Arial"/>
        <b val="1"/>
        <color rgb="007A5200"/>
      </font>
      <fill>
        <patternFill patternType="solid">
          <fgColor rgb="00FFF2C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B08D57"/>
    <outlinePr summaryBelow="1" summaryRight="1"/>
    <pageSetUpPr fitToPage="1"/>
  </sheetPr>
  <dimension ref="A1:L34"/>
  <sheetViews>
    <sheetView showGridLines="0" zoomScale="100" zoomScaleNormal="100" workbookViewId="0">
      <pane ySplit="8" topLeftCell="A9" activePane="bottomLeft" state="frozen"/>
      <selection pane="bottomLeft" activeCell="A1" sqref="A1"/>
    </sheetView>
  </sheetViews>
  <sheetFormatPr baseColWidth="8" defaultRowHeight="15"/>
  <cols>
    <col width="19" customWidth="1" min="1" max="1"/>
    <col width="19" customWidth="1" min="2" max="2"/>
    <col width="16" customWidth="1" min="3" max="3"/>
    <col width="12" customWidth="1" min="4" max="4"/>
    <col width="12" customWidth="1" min="5" max="5"/>
    <col width="18" customWidth="1" min="6" max="6"/>
    <col width="19" customWidth="1" min="7" max="7"/>
    <col width="19" customWidth="1" min="8" max="8"/>
    <col width="16" customWidth="1" min="9" max="9"/>
    <col width="12" customWidth="1" min="10" max="10"/>
    <col width="12" customWidth="1" min="11" max="11"/>
    <col width="18" customWidth="1" min="12" max="12"/>
  </cols>
  <sheetData>
    <row r="1" ht="30" customHeight="1">
      <c r="A1" s="1" t="inlineStr">
        <is>
          <t>Funding</t>
        </is>
      </c>
      <c r="B1" s="2" t="n"/>
      <c r="C1" s="2" t="n"/>
      <c r="D1" s="2" t="n"/>
      <c r="E1" s="2" t="n"/>
      <c r="F1" s="2" t="n"/>
      <c r="G1" s="2" t="n"/>
      <c r="H1" s="2" t="n"/>
      <c r="I1" s="2" t="n"/>
      <c r="J1" s="2" t="n"/>
      <c r="K1" s="2" t="n"/>
      <c r="L1" s="2" t="n"/>
    </row>
    <row r="2" ht="22" customHeight="1">
      <c r="A2" s="3" t="inlineStr">
        <is>
          <t>CURRENT PLAN</t>
        </is>
      </c>
      <c r="B2" s="4" t="n"/>
      <c r="C2" s="4" t="n"/>
      <c r="D2" s="4" t="n"/>
      <c r="E2" s="4" t="n"/>
      <c r="F2" s="4" t="n"/>
      <c r="G2" s="5" t="inlineStr">
        <is>
          <t>PROPOSED PLAN</t>
        </is>
      </c>
      <c r="H2" s="6" t="n"/>
      <c r="I2" s="6" t="n"/>
      <c r="J2" s="6" t="n"/>
      <c r="K2" s="6" t="n"/>
      <c r="L2" s="6" t="n"/>
    </row>
    <row r="3" ht="30" customHeight="1">
      <c r="A3" s="7" t="inlineStr">
        <is>
          <t>FUNDING / MONTH</t>
        </is>
      </c>
      <c r="B3" s="4" t="n"/>
      <c r="C3" s="7" t="inlineStr">
        <is>
          <t>CARE HOURS / MONTH</t>
        </is>
      </c>
      <c r="D3" s="7" t="inlineStr">
        <is>
          <t>TOTAL COST / MONTH</t>
        </is>
      </c>
      <c r="E3" s="4" t="n"/>
      <c r="F3" s="7" t="inlineStr">
        <is>
          <t>OPERATING BALANCE / MONTH</t>
        </is>
      </c>
      <c r="G3" s="8" t="inlineStr">
        <is>
          <t>FUNDING / MONTH</t>
        </is>
      </c>
      <c r="H3" s="6" t="n"/>
      <c r="I3" s="8" t="inlineStr">
        <is>
          <t>CARE HOURS / MONTH</t>
        </is>
      </c>
      <c r="J3" s="8" t="inlineStr">
        <is>
          <t>TOTAL COST / MONTH</t>
        </is>
      </c>
      <c r="K3" s="6" t="n"/>
      <c r="L3" s="8" t="inlineStr">
        <is>
          <t>OPERATING BALANCE / MONTH</t>
        </is>
      </c>
    </row>
    <row r="4" ht="34" customHeight="1">
      <c r="A4" s="9">
        <f>'Calculations'!B24</f>
        <v/>
      </c>
      <c r="B4" s="4" t="n"/>
      <c r="C4" s="10">
        <f>'Calculations'!B34</f>
        <v/>
      </c>
      <c r="D4" s="9">
        <f>'Calculations'!B56</f>
        <v/>
      </c>
      <c r="E4" s="4" t="n"/>
      <c r="F4" s="11">
        <f>'Calculations'!B60</f>
        <v/>
      </c>
      <c r="G4" s="12">
        <f>'Calculations'!C24</f>
        <v/>
      </c>
      <c r="H4" s="6" t="n"/>
      <c r="I4" s="13">
        <f>'Calculations'!C34</f>
        <v/>
      </c>
      <c r="J4" s="12">
        <f>'Calculations'!C56</f>
        <v/>
      </c>
      <c r="K4" s="6" t="n"/>
      <c r="L4" s="14">
        <f>'Calculations'!C60</f>
        <v/>
      </c>
    </row>
    <row r="5" ht="21" customHeight="1">
      <c r="A5" s="15" t="inlineStr">
        <is>
          <t>12-MONTH OPERATING RESERVE</t>
        </is>
      </c>
      <c r="B5" s="4" t="n"/>
      <c r="C5" s="4" t="n"/>
      <c r="D5" s="4" t="n"/>
      <c r="E5" s="4" t="n"/>
      <c r="F5" s="4" t="n"/>
      <c r="G5" s="16" t="inlineStr">
        <is>
          <t>12-MONTH OPERATING RESERVE</t>
        </is>
      </c>
      <c r="H5" s="6" t="n"/>
      <c r="I5" s="6" t="n"/>
      <c r="J5" s="6" t="n"/>
      <c r="K5" s="6" t="n"/>
      <c r="L5" s="6" t="n"/>
    </row>
    <row r="6" ht="35" customHeight="1">
      <c r="A6" s="17">
        <f>'Calculations'!B61</f>
        <v/>
      </c>
      <c r="B6" s="4" t="n"/>
      <c r="C6" s="4" t="n"/>
      <c r="D6" s="4" t="n"/>
      <c r="E6" s="4" t="n"/>
      <c r="F6" s="4" t="n"/>
      <c r="G6" s="18">
        <f>'Calculations'!C61</f>
        <v/>
      </c>
      <c r="H6" s="6" t="n"/>
      <c r="I6" s="6" t="n"/>
      <c r="J6" s="6" t="n"/>
      <c r="K6" s="6" t="n"/>
      <c r="L6" s="6" t="n"/>
    </row>
    <row r="7" ht="22" customHeight="1">
      <c r="A7" s="19">
        <f>IF('Calculations'!B60&gt;0.005,"Operating surplus · reserve grows",IF('Calculations'!B60&lt;-0.005,"Operating deficit · reserve declines","Break-even · reserve is unchanged"))</f>
        <v/>
      </c>
      <c r="B7" s="4" t="n"/>
      <c r="C7" s="4" t="n"/>
      <c r="D7" s="4" t="n"/>
      <c r="E7" s="4" t="n"/>
      <c r="F7" s="4" t="n"/>
      <c r="G7" s="20">
        <f>IF('Calculations'!C60&gt;0.005,"Operating surplus · reserve grows",IF('Calculations'!C60&lt;-0.005,"Operating deficit · reserve declines","Break-even · reserve is unchanged"))</f>
        <v/>
      </c>
      <c r="H7" s="6" t="n"/>
      <c r="I7" s="6" t="n"/>
      <c r="J7" s="6" t="n"/>
      <c r="K7" s="6" t="n"/>
      <c r="L7" s="6" t="n"/>
    </row>
    <row r="8" ht="24" customHeight="1">
      <c r="A8" s="21" t="inlineStr">
        <is>
          <t>FUNDING · edit the external funding envelope</t>
        </is>
      </c>
      <c r="B8" s="22" t="n"/>
      <c r="C8" s="22" t="n"/>
      <c r="D8" s="22" t="n"/>
      <c r="E8" s="22" t="n"/>
      <c r="F8" s="22" t="n"/>
      <c r="G8" s="22" t="n"/>
      <c r="H8" s="22" t="n"/>
      <c r="I8" s="22" t="n"/>
      <c r="J8" s="22" t="n"/>
      <c r="K8" s="22" t="n"/>
      <c r="L8" s="22" t="n"/>
    </row>
    <row r="10">
      <c r="A10" s="23" t="inlineStr">
        <is>
          <t>Funding parameters</t>
        </is>
      </c>
      <c r="G10" s="24" t="inlineStr">
        <is>
          <t>Proposed funding</t>
        </is>
      </c>
    </row>
    <row r="11">
      <c r="A11" s="23" t="inlineStr">
        <is>
          <t>Current entitlement inputs</t>
        </is>
      </c>
      <c r="G11" s="24" t="inlineStr">
        <is>
          <t>Blank proposed inputs inherit Current</t>
        </is>
      </c>
    </row>
    <row r="12" ht="29" customHeight="1">
      <c r="A12" s="25" t="inlineStr">
        <is>
          <t>Funding rate / hour</t>
        </is>
      </c>
      <c r="C12" s="26" t="n">
        <v>38.19</v>
      </c>
      <c r="G12" s="25" t="inlineStr">
        <is>
          <t>Funding rate / hour</t>
        </is>
      </c>
      <c r="I12" s="26" t="n">
        <v>40.52</v>
      </c>
    </row>
    <row r="13" ht="29" customHeight="1">
      <c r="A13" s="25" t="inlineStr">
        <is>
          <t>Funded hours / month</t>
        </is>
      </c>
      <c r="C13" s="27" t="n">
        <v>182.5</v>
      </c>
      <c r="G13" s="25" t="inlineStr">
        <is>
          <t>Funded hours / month</t>
        </is>
      </c>
      <c r="I13" s="27" t="n"/>
    </row>
    <row r="14" ht="29" customHeight="1">
      <c r="A14" s="25" t="inlineStr">
        <is>
          <t>Monthly funding</t>
        </is>
      </c>
      <c r="C14" s="28">
        <f>'Calculations'!B24</f>
        <v/>
      </c>
      <c r="G14" s="25" t="inlineStr">
        <is>
          <t>Monthly funding</t>
        </is>
      </c>
      <c r="I14" s="29">
        <f>'Calculations'!C24</f>
        <v/>
      </c>
    </row>
    <row r="15" ht="29" customHeight="1">
      <c r="A15" s="25" t="inlineStr">
        <is>
          <t>Annual funding</t>
        </is>
      </c>
      <c r="C15" s="28">
        <f>'Calculations'!B24*12</f>
        <v/>
      </c>
      <c r="G15" s="25" t="inlineStr">
        <is>
          <t>Annual funding</t>
        </is>
      </c>
      <c r="I15" s="29">
        <f>'Calculations'!C24*12</f>
        <v/>
      </c>
    </row>
    <row r="16" ht="29" customHeight="1">
      <c r="A16" s="25" t="inlineStr">
        <is>
          <t>Client contribution</t>
        </is>
      </c>
      <c r="C16" s="26" t="n">
        <v>300</v>
      </c>
      <c r="G16" s="30" t="inlineStr">
        <is>
          <t>Inside the entitlement. It is not added to rate × funded hours.</t>
        </is>
      </c>
    </row>
    <row r="18" ht="24" customHeight="1">
      <c r="A18" s="31" t="inlineStr">
        <is>
          <t>Shared reserve settings · apply to both plans</t>
        </is>
      </c>
    </row>
    <row r="19" ht="32" customHeight="1">
      <c r="A19" s="25" t="inlineStr">
        <is>
          <t>Opening operating reserve</t>
        </is>
      </c>
      <c r="C19" s="26" t="n">
        <v>3000</v>
      </c>
      <c r="G19" s="32" t="inlineStr">
        <is>
          <t>Enter the accumulated reserve available at the start of this plan.</t>
        </is>
      </c>
    </row>
    <row r="20" ht="32" customHeight="1">
      <c r="A20" s="25" t="inlineStr">
        <is>
          <t>Reserve target (months of funding)</t>
        </is>
      </c>
      <c r="C20" s="27" t="n">
        <v>1</v>
      </c>
      <c r="G20" s="32" t="inlineStr">
        <is>
          <t>Default target is expressed as months of the funding entitlement.</t>
        </is>
      </c>
    </row>
    <row r="21" ht="32" customHeight="1">
      <c r="A21" s="25" t="inlineStr">
        <is>
          <t>Optional dollar target</t>
        </is>
      </c>
      <c r="C21" s="26" t="n"/>
      <c r="G21" s="32" t="inlineStr">
        <is>
          <t>If entered, this dollar target takes priority over the months target.</t>
        </is>
      </c>
    </row>
    <row r="22" ht="32" customHeight="1">
      <c r="A22" s="25" t="inlineStr">
        <is>
          <t>Desired monthly reserve growth</t>
        </is>
      </c>
      <c r="C22" s="26" t="n">
        <v>200</v>
      </c>
      <c r="G22" s="32" t="inlineStr">
        <is>
          <t>Planning goal only; it does not change the operating-balance calculation.</t>
        </is>
      </c>
    </row>
    <row r="23" ht="32" customHeight="1">
      <c r="A23" s="25" t="inlineStr">
        <is>
          <t>Expenses and reserve reviewed</t>
        </is>
      </c>
      <c r="C23" s="33" t="inlineStr">
        <is>
          <t>Yes</t>
        </is>
      </c>
      <c r="G23" s="32" t="inlineStr">
        <is>
          <t>Confirm after reviewing recurring expenses and the reserve assumptions.</t>
        </is>
      </c>
    </row>
    <row r="25">
      <c r="A25" s="25" t="inlineStr">
        <is>
          <t>Reserve target</t>
        </is>
      </c>
      <c r="C25" s="34">
        <f>'Calculations'!B27</f>
        <v/>
      </c>
      <c r="G25" s="25" t="inlineStr">
        <is>
          <t>Reserve target</t>
        </is>
      </c>
      <c r="I25" s="35">
        <f>'Calculations'!C27</f>
        <v/>
      </c>
    </row>
    <row r="26">
      <c r="A26" s="25" t="inlineStr">
        <is>
          <t>Authorized surplus</t>
        </is>
      </c>
      <c r="C26" s="34">
        <f>'Calculations'!B62</f>
        <v/>
      </c>
      <c r="G26" s="25" t="inlineStr">
        <is>
          <t>Authorized surplus</t>
        </is>
      </c>
      <c r="I26" s="35">
        <f>'Calculations'!C62</f>
        <v/>
      </c>
    </row>
    <row r="28" ht="24" customHeight="1">
      <c r="A28" s="31" t="inlineStr">
        <is>
          <t>Planning context</t>
        </is>
      </c>
    </row>
    <row r="29" ht="27" customHeight="1">
      <c r="A29" s="25" t="inlineStr">
        <is>
          <t>Client code</t>
        </is>
      </c>
      <c r="C29" s="33" t="inlineStr">
        <is>
          <t>DEMO-6H</t>
        </is>
      </c>
      <c r="G29" s="25" t="inlineStr">
        <is>
          <t>Proposal name</t>
        </is>
      </c>
      <c r="I29" s="33" t="n"/>
    </row>
    <row r="30" ht="27" customHeight="1">
      <c r="A30" s="25" t="inlineStr">
        <is>
          <t>Planning period</t>
        </is>
      </c>
      <c r="C30" s="33" t="inlineStr">
        <is>
          <t>Sample plan — 3h morning + 3h evening daily</t>
        </is>
      </c>
      <c r="G30" s="25" t="inlineStr">
        <is>
          <t>Reviewed</t>
        </is>
      </c>
      <c r="I30" s="36" t="n"/>
    </row>
    <row r="31" ht="27" customHeight="1">
      <c r="A31" s="25" t="inlineStr">
        <is>
          <t>Baseline date</t>
        </is>
      </c>
      <c r="C31" s="36" t="n">
        <v>46297</v>
      </c>
    </row>
    <row r="32" ht="27" customHeight="1">
      <c r="A32" s="25" t="inlineStr">
        <is>
          <t>Baseline status</t>
        </is>
      </c>
      <c r="C32" s="33" t="inlineStr">
        <is>
          <t>Demonstration baseline</t>
        </is>
      </c>
    </row>
    <row r="34" ht="38" customHeight="1">
      <c r="A34" s="37">
        <f>IF(AND(C29&lt;&gt;"",C30&lt;&gt;"",C12&lt;&gt;"",C13&lt;&gt;"",UPPER(TRIM(C23&amp;""))="YES"),"Setup complete. Proposed blanks inherit Current Plan; entered zero remains zero.","Setup incomplete: enter client, period, Current funding, and confirm the expense/reserve review.")</f>
        <v/>
      </c>
      <c r="B34" s="38" t="n"/>
      <c r="C34" s="38" t="n"/>
      <c r="D34" s="38" t="n"/>
      <c r="E34" s="38" t="n"/>
      <c r="F34" s="38" t="n"/>
      <c r="G34" s="38" t="n"/>
      <c r="H34" s="38" t="n"/>
      <c r="I34" s="38" t="n"/>
      <c r="J34" s="38" t="n"/>
      <c r="K34" s="38" t="n"/>
      <c r="L34" s="39" t="n"/>
    </row>
  </sheetData>
  <sheetProtection selectLockedCells="0" selectUnlockedCells="0" sheet="1" objects="0" insertRows="1" insertHyperlinks="1" autoFilter="0" scenarios="0" formatColumns="1" deleteColumns="1" insertColumns="1" pivotTables="1" deleteRows="1" formatCells="1" formatRows="1" sort="0"/>
  <mergeCells count="79">
    <mergeCell ref="I14:L14"/>
    <mergeCell ref="A15:B15"/>
    <mergeCell ref="G19:L19"/>
    <mergeCell ref="G6:L6"/>
    <mergeCell ref="C32:F32"/>
    <mergeCell ref="C13:F13"/>
    <mergeCell ref="G5:L5"/>
    <mergeCell ref="A5:F5"/>
    <mergeCell ref="C15:F15"/>
    <mergeCell ref="J4:K4"/>
    <mergeCell ref="I26:L26"/>
    <mergeCell ref="C26:F26"/>
    <mergeCell ref="D4:E4"/>
    <mergeCell ref="I25:L25"/>
    <mergeCell ref="A34:L34"/>
    <mergeCell ref="A22:B22"/>
    <mergeCell ref="A19:B19"/>
    <mergeCell ref="A7:F7"/>
    <mergeCell ref="A30:B30"/>
    <mergeCell ref="G12:H12"/>
    <mergeCell ref="G10:L10"/>
    <mergeCell ref="I29:L29"/>
    <mergeCell ref="C19:F19"/>
    <mergeCell ref="A2:F2"/>
    <mergeCell ref="I13:L13"/>
    <mergeCell ref="C30:F30"/>
    <mergeCell ref="I15:L15"/>
    <mergeCell ref="G20:L20"/>
    <mergeCell ref="C14:F14"/>
    <mergeCell ref="A26:B26"/>
    <mergeCell ref="G22:L22"/>
    <mergeCell ref="G26:H26"/>
    <mergeCell ref="G21:L21"/>
    <mergeCell ref="J3:K3"/>
    <mergeCell ref="A11:F11"/>
    <mergeCell ref="G25:H25"/>
    <mergeCell ref="G23:L23"/>
    <mergeCell ref="G7:L7"/>
    <mergeCell ref="A18:L18"/>
    <mergeCell ref="I30:L30"/>
    <mergeCell ref="G13:H13"/>
    <mergeCell ref="A3:B3"/>
    <mergeCell ref="A12:B12"/>
    <mergeCell ref="A21:B21"/>
    <mergeCell ref="A10:F10"/>
    <mergeCell ref="G15:H15"/>
    <mergeCell ref="C20:F20"/>
    <mergeCell ref="C29:F29"/>
    <mergeCell ref="A32:B32"/>
    <mergeCell ref="A14:B14"/>
    <mergeCell ref="A23:B23"/>
    <mergeCell ref="D3:E3"/>
    <mergeCell ref="A4:B4"/>
    <mergeCell ref="C22:F22"/>
    <mergeCell ref="G11:L11"/>
    <mergeCell ref="C31:F31"/>
    <mergeCell ref="C12:F12"/>
    <mergeCell ref="C21:F21"/>
    <mergeCell ref="C23:F23"/>
    <mergeCell ref="A16:B16"/>
    <mergeCell ref="A25:B25"/>
    <mergeCell ref="A8:L8"/>
    <mergeCell ref="G3:H3"/>
    <mergeCell ref="G16:L16"/>
    <mergeCell ref="G30:H30"/>
    <mergeCell ref="A28:L28"/>
    <mergeCell ref="C16:F16"/>
    <mergeCell ref="G14:H14"/>
    <mergeCell ref="C25:F25"/>
    <mergeCell ref="G29:H29"/>
    <mergeCell ref="G4:H4"/>
    <mergeCell ref="A20:B20"/>
    <mergeCell ref="G2:L2"/>
    <mergeCell ref="A29:B29"/>
    <mergeCell ref="A1:L1"/>
    <mergeCell ref="I12:L12"/>
    <mergeCell ref="A6:F6"/>
    <mergeCell ref="A13:B13"/>
    <mergeCell ref="A31:B31"/>
  </mergeCells>
  <conditionalFormatting sqref="F4">
    <cfRule type="expression" priority="1" dxfId="0">
      <formula>F4&gt;0.005</formula>
    </cfRule>
    <cfRule type="expression" priority="2" dxfId="1">
      <formula>F4&lt;-0.005</formula>
    </cfRule>
    <cfRule type="expression" priority="3" dxfId="2">
      <formula>ABS(F4)&lt;=0.005</formula>
    </cfRule>
  </conditionalFormatting>
  <conditionalFormatting sqref="L4">
    <cfRule type="expression" priority="4" dxfId="0">
      <formula>L4&gt;0.005</formula>
    </cfRule>
    <cfRule type="expression" priority="5" dxfId="1">
      <formula>L4&lt;-0.005</formula>
    </cfRule>
    <cfRule type="expression" priority="6" dxfId="2">
      <formula>ABS(L4)&lt;=0.005</formula>
    </cfRule>
  </conditionalFormatting>
  <conditionalFormatting sqref="A6:F6">
    <cfRule type="expression" priority="7" dxfId="0">
      <formula>A6&gt;0.005</formula>
    </cfRule>
    <cfRule type="expression" priority="8" dxfId="1">
      <formula>A6&lt;-0.005</formula>
    </cfRule>
    <cfRule type="expression" priority="9" dxfId="2">
      <formula>ABS(A6)&lt;=0.005</formula>
    </cfRule>
  </conditionalFormatting>
  <conditionalFormatting sqref="G6:L6">
    <cfRule type="expression" priority="10" dxfId="0">
      <formula>G6&gt;0.005</formula>
    </cfRule>
    <cfRule type="expression" priority="11" dxfId="1">
      <formula>G6&lt;-0.005</formula>
    </cfRule>
    <cfRule type="expression" priority="12" dxfId="2">
      <formula>ABS(G6)&lt;=0.005</formula>
    </cfRule>
  </conditionalFormatting>
  <dataValidations count="1">
    <dataValidation sqref="C23" showDropDown="0" showInputMessage="0" showErrorMessage="1" allowBlank="1" errorTitle="Invalid value" error="Choose a value from the list." type="list">
      <formula1>"Yes"</formula1>
    </dataValidation>
  </dataValidations>
  <pageMargins left="0.35" right="0.35" top="0.5" bottom="0.5" header="0.5" footer="0.5"/>
  <pageSetup orientation="landscape" paperSize="1" fitToHeight="1" fitToWidth="1"/>
  <headerFooter>
    <oddHeader>&amp;LCare Team Budget Planner — Funding</oddHeader>
    <oddFooter>&amp;LUnreleased v1.2 preview</oddFooter>
    <evenHeader/>
    <evenFooter/>
    <firstHeader/>
    <firstFooter/>
  </headerFooter>
</worksheet>
</file>

<file path=xl/worksheets/sheet2.xml><?xml version="1.0" encoding="utf-8"?>
<worksheet xmlns="http://schemas.openxmlformats.org/spreadsheetml/2006/main">
  <sheetPr>
    <tabColor rgb="008064A2"/>
    <outlinePr summaryBelow="1" summaryRight="1"/>
    <pageSetUpPr fitToPage="1"/>
  </sheetPr>
  <dimension ref="A1:Q27"/>
  <sheetViews>
    <sheetView showGridLines="0" zoomScale="100" zoomScaleNormal="100" workbookViewId="0">
      <pane ySplit="8" topLeftCell="A9" activePane="bottomLeft" state="frozen"/>
      <selection pane="bottomLeft" activeCell="A1" sqref="A1"/>
    </sheetView>
  </sheetViews>
  <sheetFormatPr baseColWidth="8" defaultRowHeight="15"/>
  <cols>
    <col width="7" customWidth="1" min="1" max="1"/>
    <col width="19" customWidth="1" min="2" max="2"/>
    <col width="20" customWidth="1" min="3" max="3"/>
    <col width="11" customWidth="1" min="4" max="4"/>
    <col width="13" customWidth="1" min="5" max="5"/>
    <col width="13" customWidth="1" min="6" max="6"/>
    <col width="13" customWidth="1" min="7" max="7"/>
    <col width="13" customWidth="1" min="8" max="8"/>
    <col width="10" customWidth="1" min="9" max="9"/>
    <col width="13" customWidth="1" min="10" max="10"/>
    <col width="13" customWidth="1" min="11" max="11"/>
    <col width="13" customWidth="1" min="12" max="12"/>
    <col width="13" customWidth="1" min="13" max="13"/>
    <col width="10" customWidth="1" min="14" max="14"/>
    <col width="26" customWidth="1" min="15" max="15"/>
    <col width="16" customWidth="1" min="16" max="16"/>
    <col width="16" customWidth="1" min="17" max="17"/>
  </cols>
  <sheetData>
    <row r="1" ht="30" customHeight="1">
      <c r="A1" s="1" t="inlineStr">
        <is>
          <t>Care Team</t>
        </is>
      </c>
      <c r="B1" s="2" t="n"/>
      <c r="C1" s="2" t="n"/>
      <c r="D1" s="2" t="n"/>
      <c r="E1" s="2" t="n"/>
      <c r="F1" s="2" t="n"/>
      <c r="G1" s="2" t="n"/>
      <c r="H1" s="2" t="n"/>
      <c r="I1" s="2" t="n"/>
      <c r="J1" s="2" t="n"/>
      <c r="K1" s="2" t="n"/>
      <c r="L1" s="2" t="n"/>
      <c r="M1" s="2" t="n"/>
      <c r="N1" s="2" t="n"/>
      <c r="O1" s="2" t="n"/>
      <c r="P1" s="2" t="n"/>
      <c r="Q1" s="2" t="n"/>
    </row>
    <row r="2" ht="22" customHeight="1">
      <c r="A2" s="3" t="inlineStr">
        <is>
          <t>CURRENT PLAN</t>
        </is>
      </c>
      <c r="B2" s="4" t="n"/>
      <c r="C2" s="4" t="n"/>
      <c r="D2" s="4" t="n"/>
      <c r="E2" s="4" t="n"/>
      <c r="F2" s="4" t="n"/>
      <c r="G2" s="4" t="n"/>
      <c r="H2" s="4" t="n"/>
      <c r="I2" s="5" t="inlineStr">
        <is>
          <t>PROPOSED PLAN</t>
        </is>
      </c>
      <c r="J2" s="6" t="n"/>
      <c r="K2" s="6" t="n"/>
      <c r="L2" s="6" t="n"/>
      <c r="M2" s="6" t="n"/>
      <c r="N2" s="6" t="n"/>
      <c r="O2" s="6" t="n"/>
      <c r="P2" s="6" t="n"/>
      <c r="Q2" s="6" t="n"/>
    </row>
    <row r="3" ht="30" customHeight="1">
      <c r="A3" s="7" t="inlineStr">
        <is>
          <t>FUNDING / MONTH</t>
        </is>
      </c>
      <c r="B3" s="4" t="n"/>
      <c r="C3" s="7" t="inlineStr">
        <is>
          <t>CARE HOURS / MONTH</t>
        </is>
      </c>
      <c r="D3" s="4" t="n"/>
      <c r="E3" s="7" t="inlineStr">
        <is>
          <t>TOTAL COST / MONTH</t>
        </is>
      </c>
      <c r="F3" s="4" t="n"/>
      <c r="G3" s="7" t="inlineStr">
        <is>
          <t>OPERATING BALANCE / MONTH</t>
        </is>
      </c>
      <c r="H3" s="4" t="n"/>
      <c r="I3" s="8" t="inlineStr">
        <is>
          <t>FUNDING / MONTH</t>
        </is>
      </c>
      <c r="J3" s="6" t="n"/>
      <c r="K3" s="8" t="inlineStr">
        <is>
          <t>CARE HOURS / MONTH</t>
        </is>
      </c>
      <c r="L3" s="6" t="n"/>
      <c r="M3" s="8" t="inlineStr">
        <is>
          <t>TOTAL COST / MONTH</t>
        </is>
      </c>
      <c r="N3" s="6" t="n"/>
      <c r="O3" s="8" t="inlineStr">
        <is>
          <t>OPERATING BALANCE / MONTH</t>
        </is>
      </c>
      <c r="P3" s="6" t="n"/>
      <c r="Q3" s="6" t="n"/>
    </row>
    <row r="4" ht="34" customHeight="1">
      <c r="A4" s="9">
        <f>'Calculations'!B24</f>
        <v/>
      </c>
      <c r="B4" s="4" t="n"/>
      <c r="C4" s="10">
        <f>'Calculations'!B34</f>
        <v/>
      </c>
      <c r="D4" s="4" t="n"/>
      <c r="E4" s="9">
        <f>'Calculations'!B56</f>
        <v/>
      </c>
      <c r="F4" s="4" t="n"/>
      <c r="G4" s="11">
        <f>'Calculations'!B60</f>
        <v/>
      </c>
      <c r="H4" s="4" t="n"/>
      <c r="I4" s="12">
        <f>'Calculations'!C24</f>
        <v/>
      </c>
      <c r="J4" s="6" t="n"/>
      <c r="K4" s="13">
        <f>'Calculations'!C34</f>
        <v/>
      </c>
      <c r="L4" s="6" t="n"/>
      <c r="M4" s="12">
        <f>'Calculations'!C56</f>
        <v/>
      </c>
      <c r="N4" s="6" t="n"/>
      <c r="O4" s="14">
        <f>'Calculations'!C60</f>
        <v/>
      </c>
      <c r="P4" s="6" t="n"/>
      <c r="Q4" s="6" t="n"/>
    </row>
    <row r="5" ht="21" customHeight="1">
      <c r="A5" s="15" t="inlineStr">
        <is>
          <t>12-MONTH OPERATING RESERVE</t>
        </is>
      </c>
      <c r="B5" s="4" t="n"/>
      <c r="C5" s="4" t="n"/>
      <c r="D5" s="4" t="n"/>
      <c r="E5" s="4" t="n"/>
      <c r="F5" s="4" t="n"/>
      <c r="G5" s="4" t="n"/>
      <c r="H5" s="4" t="n"/>
      <c r="I5" s="16" t="inlineStr">
        <is>
          <t>12-MONTH OPERATING RESERVE</t>
        </is>
      </c>
      <c r="J5" s="6" t="n"/>
      <c r="K5" s="6" t="n"/>
      <c r="L5" s="6" t="n"/>
      <c r="M5" s="6" t="n"/>
      <c r="N5" s="6" t="n"/>
      <c r="O5" s="6" t="n"/>
      <c r="P5" s="6" t="n"/>
      <c r="Q5" s="6" t="n"/>
    </row>
    <row r="6" ht="35" customHeight="1">
      <c r="A6" s="17">
        <f>'Calculations'!B61</f>
        <v/>
      </c>
      <c r="B6" s="4" t="n"/>
      <c r="C6" s="4" t="n"/>
      <c r="D6" s="4" t="n"/>
      <c r="E6" s="4" t="n"/>
      <c r="F6" s="4" t="n"/>
      <c r="G6" s="4" t="n"/>
      <c r="H6" s="4" t="n"/>
      <c r="I6" s="18">
        <f>'Calculations'!C61</f>
        <v/>
      </c>
      <c r="J6" s="6" t="n"/>
      <c r="K6" s="6" t="n"/>
      <c r="L6" s="6" t="n"/>
      <c r="M6" s="6" t="n"/>
      <c r="N6" s="6" t="n"/>
      <c r="O6" s="6" t="n"/>
      <c r="P6" s="6" t="n"/>
      <c r="Q6" s="6" t="n"/>
    </row>
    <row r="7" ht="22" customHeight="1">
      <c r="A7" s="19">
        <f>IF('Calculations'!B60&gt;0.005,"Operating surplus · reserve grows",IF('Calculations'!B60&lt;-0.005,"Operating deficit · reserve declines","Break-even · reserve is unchanged"))</f>
        <v/>
      </c>
      <c r="B7" s="4" t="n"/>
      <c r="C7" s="4" t="n"/>
      <c r="D7" s="4" t="n"/>
      <c r="E7" s="4" t="n"/>
      <c r="F7" s="4" t="n"/>
      <c r="G7" s="4" t="n"/>
      <c r="H7" s="4" t="n"/>
      <c r="I7" s="20">
        <f>IF('Calculations'!C60&gt;0.005,"Operating surplus · reserve grows",IF('Calculations'!C60&lt;-0.005,"Operating deficit · reserve declines","Break-even · reserve is unchanged"))</f>
        <v/>
      </c>
      <c r="J7" s="6" t="n"/>
      <c r="K7" s="6" t="n"/>
      <c r="L7" s="6" t="n"/>
      <c r="M7" s="6" t="n"/>
      <c r="N7" s="6" t="n"/>
      <c r="O7" s="6" t="n"/>
      <c r="P7" s="6" t="n"/>
      <c r="Q7" s="6" t="n"/>
    </row>
    <row r="8" ht="24" customHeight="1">
      <c r="A8" s="21" t="inlineStr">
        <is>
          <t>CARE TEAM · edit recurring worker / shift components</t>
        </is>
      </c>
      <c r="B8" s="22" t="n"/>
      <c r="C8" s="22" t="n"/>
      <c r="D8" s="22" t="n"/>
      <c r="E8" s="22" t="n"/>
      <c r="F8" s="22" t="n"/>
      <c r="G8" s="22" t="n"/>
      <c r="H8" s="22" t="n"/>
      <c r="I8" s="22" t="n"/>
      <c r="J8" s="22" t="n"/>
      <c r="K8" s="22" t="n"/>
      <c r="L8" s="22" t="n"/>
      <c r="M8" s="22" t="n"/>
      <c r="N8" s="22" t="n"/>
      <c r="O8" s="22" t="n"/>
      <c r="P8" s="22" t="n"/>
      <c r="Q8" s="22" t="n"/>
    </row>
    <row r="9" ht="28" customHeight="1">
      <c r="A9" s="40" t="inlineStr">
        <is>
          <t>WORKER / SHIFT COMPONENT</t>
        </is>
      </c>
      <c r="E9" s="40" t="inlineStr">
        <is>
          <t>CURRENT TEAM</t>
        </is>
      </c>
      <c r="J9" s="41" t="inlineStr">
        <is>
          <t>PROPOSED TEAM  ·  blank inherits Current</t>
        </is>
      </c>
      <c r="O9" s="42" t="inlineStr">
        <is>
          <t>ANNUALIZED RECURRING BASE PAY</t>
        </is>
      </c>
    </row>
    <row r="10" ht="48" customHeight="1">
      <c r="A10" s="43" t="inlineStr">
        <is>
          <t>Slot</t>
        </is>
      </c>
      <c r="B10" s="43" t="inlineStr">
        <is>
          <t>Worker</t>
        </is>
      </c>
      <c r="C10" s="43" t="inlineStr">
        <is>
          <t>Shift / component</t>
        </is>
      </c>
      <c r="D10" s="43" t="inlineStr">
        <is>
          <t>Pay unit</t>
        </is>
      </c>
      <c r="E10" s="43" t="inlineStr">
        <is>
          <t>Status</t>
        </is>
      </c>
      <c r="F10" s="43" t="inlineStr">
        <is>
          <t>Paid units / week</t>
        </is>
      </c>
      <c r="G10" s="43" t="inlineStr">
        <is>
          <t>Rate / unit</t>
        </is>
      </c>
      <c r="H10" s="43" t="inlineStr">
        <is>
          <t>Care hours / week</t>
        </is>
      </c>
      <c r="I10" s="43" t="inlineStr">
        <is>
          <t>Vacation %</t>
        </is>
      </c>
      <c r="J10" s="44" t="inlineStr">
        <is>
          <t>Status</t>
        </is>
      </c>
      <c r="K10" s="44" t="inlineStr">
        <is>
          <t>Paid units / week</t>
        </is>
      </c>
      <c r="L10" s="44" t="inlineStr">
        <is>
          <t>Rate / unit</t>
        </is>
      </c>
      <c r="M10" s="44" t="inlineStr">
        <is>
          <t>Care hours / week</t>
        </is>
      </c>
      <c r="N10" s="44" t="inlineStr">
        <is>
          <t>Vacation %</t>
        </is>
      </c>
      <c r="O10" s="43" t="inlineStr">
        <is>
          <t>Notes</t>
        </is>
      </c>
      <c r="P10" s="43" t="inlineStr">
        <is>
          <t>Current / worker</t>
        </is>
      </c>
      <c r="Q10" s="43" t="inlineStr">
        <is>
          <t>Proposed / worker</t>
        </is>
      </c>
    </row>
    <row r="11" ht="38" customHeight="1">
      <c r="A11" s="45" t="inlineStr">
        <is>
          <t>T01</t>
        </is>
      </c>
      <c r="B11" s="46" t="inlineStr">
        <is>
          <t>Alex Reed</t>
        </is>
      </c>
      <c r="C11" s="46" t="inlineStr">
        <is>
          <t>Morning support (3 hours)</t>
        </is>
      </c>
      <c r="D11" s="47" t="inlineStr">
        <is>
          <t>Hour</t>
        </is>
      </c>
      <c r="E11" s="48" t="inlineStr">
        <is>
          <t>Scheduled</t>
        </is>
      </c>
      <c r="F11" s="49" t="n">
        <v>15</v>
      </c>
      <c r="G11" s="50" t="n">
        <v>30</v>
      </c>
      <c r="H11" s="49" t="n">
        <v>15</v>
      </c>
      <c r="I11" s="51" t="n">
        <v>0.04</v>
      </c>
      <c r="J11" s="48" t="n"/>
      <c r="K11" s="49" t="n"/>
      <c r="L11" s="50" t="n">
        <v>31.8</v>
      </c>
      <c r="M11" s="49" t="n"/>
      <c r="N11" s="51" t="n"/>
      <c r="O11" s="52" t="inlineStr">
        <is>
          <t>Mon–Fri morning coverage; 3 hours/day.</t>
        </is>
      </c>
      <c r="P11" s="53">
        <f>IF('Calculations'!F70="","",SUMIF('Calculations'!$E$70:$E$84,'Calculations'!E70,'Calculations'!$G$70:$G$84)*'Calculations'!$B$6)</f>
        <v/>
      </c>
      <c r="Q11" s="54">
        <f>IF('Calculations'!F70="","",SUMIF('Calculations'!$E$70:$E$84,'Calculations'!E70,'Calculations'!$H$70:$H$84)*'Calculations'!$B$6)</f>
        <v/>
      </c>
    </row>
    <row r="12" ht="38" customHeight="1">
      <c r="A12" s="55" t="inlineStr">
        <is>
          <t>T02</t>
        </is>
      </c>
      <c r="B12" s="56" t="inlineStr">
        <is>
          <t>Alex Reed</t>
        </is>
      </c>
      <c r="C12" s="56" t="inlineStr">
        <is>
          <t>Evening support (3 hours)</t>
        </is>
      </c>
      <c r="D12" s="57" t="inlineStr">
        <is>
          <t>Hour</t>
        </is>
      </c>
      <c r="E12" s="58" t="inlineStr">
        <is>
          <t>Scheduled</t>
        </is>
      </c>
      <c r="F12" s="59" t="n">
        <v>15</v>
      </c>
      <c r="G12" s="60" t="n">
        <v>30</v>
      </c>
      <c r="H12" s="59" t="n">
        <v>15</v>
      </c>
      <c r="I12" s="61" t="n">
        <v>0.04</v>
      </c>
      <c r="J12" s="58" t="n"/>
      <c r="K12" s="59" t="n"/>
      <c r="L12" s="60" t="n">
        <v>30.9</v>
      </c>
      <c r="M12" s="59" t="n"/>
      <c r="N12" s="61" t="n"/>
      <c r="O12" s="62" t="inlineStr">
        <is>
          <t>Mon–Fri evening coverage; 3 hours/day.</t>
        </is>
      </c>
      <c r="P12" s="63">
        <f>IF('Calculations'!F71="","",SUMIF('Calculations'!$E$70:$E$84,'Calculations'!E71,'Calculations'!$G$70:$G$84)*'Calculations'!$B$6)</f>
        <v/>
      </c>
      <c r="Q12" s="64">
        <f>IF('Calculations'!F71="","",SUMIF('Calculations'!$E$70:$E$84,'Calculations'!E71,'Calculations'!$H$70:$H$84)*'Calculations'!$B$6)</f>
        <v/>
      </c>
    </row>
    <row r="13" ht="38" customHeight="1">
      <c r="A13" s="45" t="inlineStr">
        <is>
          <t>T03</t>
        </is>
      </c>
      <c r="B13" s="46" t="inlineStr">
        <is>
          <t>Jordan Kim</t>
        </is>
      </c>
      <c r="C13" s="46" t="inlineStr">
        <is>
          <t>Morning support (3 hours)</t>
        </is>
      </c>
      <c r="D13" s="47" t="inlineStr">
        <is>
          <t>Hour</t>
        </is>
      </c>
      <c r="E13" s="48" t="inlineStr">
        <is>
          <t>Scheduled</t>
        </is>
      </c>
      <c r="F13" s="49" t="n">
        <v>6</v>
      </c>
      <c r="G13" s="50" t="n">
        <v>30</v>
      </c>
      <c r="H13" s="49" t="n">
        <v>6</v>
      </c>
      <c r="I13" s="51" t="n">
        <v>0.04</v>
      </c>
      <c r="J13" s="48" t="n"/>
      <c r="K13" s="49" t="n"/>
      <c r="L13" s="50" t="n">
        <v>31.8</v>
      </c>
      <c r="M13" s="49" t="n"/>
      <c r="N13" s="51" t="n"/>
      <c r="O13" s="52" t="inlineStr">
        <is>
          <t>Weekend morning coverage; 3 hours/day.</t>
        </is>
      </c>
      <c r="P13" s="53">
        <f>IF('Calculations'!F72="","",SUMIF('Calculations'!$E$70:$E$84,'Calculations'!E72,'Calculations'!$G$70:$G$84)*'Calculations'!$B$6)</f>
        <v/>
      </c>
      <c r="Q13" s="54">
        <f>IF('Calculations'!F72="","",SUMIF('Calculations'!$E$70:$E$84,'Calculations'!E72,'Calculations'!$H$70:$H$84)*'Calculations'!$B$6)</f>
        <v/>
      </c>
    </row>
    <row r="14" ht="38" customHeight="1">
      <c r="A14" s="45" t="inlineStr">
        <is>
          <t>T04</t>
        </is>
      </c>
      <c r="B14" s="46" t="inlineStr">
        <is>
          <t>Jordan Kim</t>
        </is>
      </c>
      <c r="C14" s="46" t="inlineStr">
        <is>
          <t>Evening support (3 hours)</t>
        </is>
      </c>
      <c r="D14" s="47" t="inlineStr">
        <is>
          <t>Hour</t>
        </is>
      </c>
      <c r="E14" s="48" t="inlineStr">
        <is>
          <t>Scheduled</t>
        </is>
      </c>
      <c r="F14" s="49" t="n">
        <v>6</v>
      </c>
      <c r="G14" s="50" t="n">
        <v>30</v>
      </c>
      <c r="H14" s="49" t="n">
        <v>6</v>
      </c>
      <c r="I14" s="51" t="n">
        <v>0.04</v>
      </c>
      <c r="J14" s="48" t="n"/>
      <c r="K14" s="49" t="n"/>
      <c r="L14" s="50" t="n">
        <v>31.8</v>
      </c>
      <c r="M14" s="49" t="n"/>
      <c r="N14" s="51" t="n"/>
      <c r="O14" s="52" t="inlineStr">
        <is>
          <t>Weekend evening coverage; 3 hours/day.</t>
        </is>
      </c>
      <c r="P14" s="53">
        <f>IF('Calculations'!F73="","",SUMIF('Calculations'!$E$70:$E$84,'Calculations'!E73,'Calculations'!$G$70:$G$84)*'Calculations'!$B$6)</f>
        <v/>
      </c>
      <c r="Q14" s="54">
        <f>IF('Calculations'!F73="","",SUMIF('Calculations'!$E$70:$E$84,'Calculations'!E73,'Calculations'!$H$70:$H$84)*'Calculations'!$B$6)</f>
        <v/>
      </c>
    </row>
    <row r="15" ht="38" customHeight="1">
      <c r="A15" s="55" t="inlineStr">
        <is>
          <t>T05</t>
        </is>
      </c>
      <c r="B15" s="56" t="inlineStr">
        <is>
          <t>Jordan Kim</t>
        </is>
      </c>
      <c r="C15" s="56" t="inlineStr">
        <is>
          <t>Overnight backup</t>
        </is>
      </c>
      <c r="D15" s="57" t="inlineStr">
        <is>
          <t>Shift</t>
        </is>
      </c>
      <c r="E15" s="58" t="inlineStr">
        <is>
          <t>Casual</t>
        </is>
      </c>
      <c r="F15" s="59" t="n">
        <v>0</v>
      </c>
      <c r="G15" s="60" t="n">
        <v>220</v>
      </c>
      <c r="H15" s="59" t="n">
        <v>0</v>
      </c>
      <c r="I15" s="61" t="n">
        <v>0.04</v>
      </c>
      <c r="J15" s="58" t="n"/>
      <c r="K15" s="59" t="n"/>
      <c r="L15" s="60" t="n">
        <v>233.2</v>
      </c>
      <c r="M15" s="59" t="n"/>
      <c r="N15" s="61" t="n"/>
      <c r="O15" s="62" t="inlineStr">
        <is>
          <t>Ad-hoc overnight option; 8 care hours when a shift is scheduled.</t>
        </is>
      </c>
      <c r="P15" s="63">
        <f>IF('Calculations'!F74="","",SUMIF('Calculations'!$E$70:$E$84,'Calculations'!E74,'Calculations'!$G$70:$G$84)*'Calculations'!$B$6)</f>
        <v/>
      </c>
      <c r="Q15" s="64">
        <f>IF('Calculations'!F74="","",SUMIF('Calculations'!$E$70:$E$84,'Calculations'!E74,'Calculations'!$H$70:$H$84)*'Calculations'!$B$6)</f>
        <v/>
      </c>
    </row>
    <row r="16" ht="38" customHeight="1">
      <c r="A16" s="55" t="inlineStr">
        <is>
          <t>T06</t>
        </is>
      </c>
      <c r="B16" s="56" t="inlineStr">
        <is>
          <t>Taylor Morgan</t>
        </is>
      </c>
      <c r="C16" s="56" t="inlineStr">
        <is>
          <t>Overnight relief</t>
        </is>
      </c>
      <c r="D16" s="57" t="inlineStr">
        <is>
          <t>Shift</t>
        </is>
      </c>
      <c r="E16" s="58" t="inlineStr">
        <is>
          <t>Casual</t>
        </is>
      </c>
      <c r="F16" s="59" t="n">
        <v>0</v>
      </c>
      <c r="G16" s="60" t="n">
        <v>220</v>
      </c>
      <c r="H16" s="59" t="n">
        <v>0</v>
      </c>
      <c r="I16" s="61" t="n">
        <v>0.04</v>
      </c>
      <c r="J16" s="58" t="n"/>
      <c r="K16" s="59" t="n"/>
      <c r="L16" s="60" t="n">
        <v>233.2</v>
      </c>
      <c r="M16" s="59" t="n"/>
      <c r="N16" s="61" t="n"/>
      <c r="O16" s="62" t="inlineStr">
        <is>
          <t>Casual overnight backup; no recurring allocation.</t>
        </is>
      </c>
      <c r="P16" s="63">
        <f>IF('Calculations'!F75="","",SUMIF('Calculations'!$E$70:$E$84,'Calculations'!E75,'Calculations'!$G$70:$G$84)*'Calculations'!$B$6)</f>
        <v/>
      </c>
      <c r="Q16" s="64">
        <f>IF('Calculations'!F75="","",SUMIF('Calculations'!$E$70:$E$84,'Calculations'!E75,'Calculations'!$H$70:$H$84)*'Calculations'!$B$6)</f>
        <v/>
      </c>
    </row>
    <row r="17" ht="38" customHeight="1">
      <c r="A17" s="55" t="inlineStr">
        <is>
          <t>T07</t>
        </is>
      </c>
      <c r="B17" s="56" t="inlineStr">
        <is>
          <t>Casey Lee</t>
        </is>
      </c>
      <c r="C17" s="56" t="inlineStr">
        <is>
          <t>Casual on call</t>
        </is>
      </c>
      <c r="D17" s="57" t="inlineStr">
        <is>
          <t>Hour</t>
        </is>
      </c>
      <c r="E17" s="58" t="inlineStr">
        <is>
          <t>Casual</t>
        </is>
      </c>
      <c r="F17" s="59" t="n">
        <v>0</v>
      </c>
      <c r="G17" s="60" t="n">
        <v>31</v>
      </c>
      <c r="H17" s="59" t="n">
        <v>0</v>
      </c>
      <c r="I17" s="61" t="n">
        <v>0.04</v>
      </c>
      <c r="J17" s="58" t="n"/>
      <c r="K17" s="59" t="n"/>
      <c r="L17" s="60" t="n">
        <v>32.86</v>
      </c>
      <c r="M17" s="59" t="n"/>
      <c r="N17" s="61" t="n"/>
      <c r="O17" s="62" t="inlineStr">
        <is>
          <t>General casual backup; no recurring allocation.</t>
        </is>
      </c>
      <c r="P17" s="63">
        <f>IF('Calculations'!F76="","",SUMIF('Calculations'!$E$70:$E$84,'Calculations'!E76,'Calculations'!$G$70:$G$84)*'Calculations'!$B$6)</f>
        <v/>
      </c>
      <c r="Q17" s="64">
        <f>IF('Calculations'!F76="","",SUMIF('Calculations'!$E$70:$E$84,'Calculations'!E76,'Calculations'!$H$70:$H$84)*'Calculations'!$B$6)</f>
        <v/>
      </c>
    </row>
    <row r="18" ht="38" customHeight="1">
      <c r="A18" s="45" t="inlineStr">
        <is>
          <t>T08</t>
        </is>
      </c>
      <c r="B18" s="46" t="n"/>
      <c r="C18" s="46" t="n"/>
      <c r="D18" s="47" t="n"/>
      <c r="E18" s="48" t="n"/>
      <c r="F18" s="49" t="n"/>
      <c r="G18" s="50" t="n"/>
      <c r="H18" s="49" t="n"/>
      <c r="I18" s="51" t="n"/>
      <c r="J18" s="48" t="n"/>
      <c r="K18" s="49" t="n"/>
      <c r="L18" s="50" t="n"/>
      <c r="M18" s="49" t="n"/>
      <c r="N18" s="51" t="n"/>
      <c r="O18" s="52" t="n"/>
      <c r="P18" s="53">
        <f>IF('Calculations'!F77="","",SUMIF('Calculations'!$E$70:$E$84,'Calculations'!E77,'Calculations'!$G$70:$G$84)*'Calculations'!$B$6)</f>
        <v/>
      </c>
      <c r="Q18" s="54">
        <f>IF('Calculations'!F77="","",SUMIF('Calculations'!$E$70:$E$84,'Calculations'!E77,'Calculations'!$H$70:$H$84)*'Calculations'!$B$6)</f>
        <v/>
      </c>
    </row>
    <row r="19" ht="38" customHeight="1">
      <c r="A19" s="45" t="inlineStr">
        <is>
          <t>T09</t>
        </is>
      </c>
      <c r="B19" s="46" t="n"/>
      <c r="C19" s="46" t="n"/>
      <c r="D19" s="47" t="n"/>
      <c r="E19" s="48" t="n"/>
      <c r="F19" s="49" t="n"/>
      <c r="G19" s="50" t="n"/>
      <c r="H19" s="49" t="n"/>
      <c r="I19" s="51" t="n"/>
      <c r="J19" s="48" t="n"/>
      <c r="K19" s="49" t="n"/>
      <c r="L19" s="50" t="n"/>
      <c r="M19" s="49" t="n"/>
      <c r="N19" s="51" t="n"/>
      <c r="O19" s="52" t="n"/>
      <c r="P19" s="53">
        <f>IF('Calculations'!F78="","",SUMIF('Calculations'!$E$70:$E$84,'Calculations'!E78,'Calculations'!$G$70:$G$84)*'Calculations'!$B$6)</f>
        <v/>
      </c>
      <c r="Q19" s="54">
        <f>IF('Calculations'!F78="","",SUMIF('Calculations'!$E$70:$E$84,'Calculations'!E78,'Calculations'!$H$70:$H$84)*'Calculations'!$B$6)</f>
        <v/>
      </c>
    </row>
    <row r="20" ht="38" customHeight="1">
      <c r="A20" s="45" t="inlineStr">
        <is>
          <t>T10</t>
        </is>
      </c>
      <c r="B20" s="46" t="n"/>
      <c r="C20" s="46" t="n"/>
      <c r="D20" s="47" t="n"/>
      <c r="E20" s="48" t="n"/>
      <c r="F20" s="49" t="n"/>
      <c r="G20" s="50" t="n"/>
      <c r="H20" s="49" t="n"/>
      <c r="I20" s="51" t="n"/>
      <c r="J20" s="48" t="n"/>
      <c r="K20" s="49" t="n"/>
      <c r="L20" s="50" t="n"/>
      <c r="M20" s="49" t="n"/>
      <c r="N20" s="51" t="n"/>
      <c r="O20" s="52" t="n"/>
      <c r="P20" s="53">
        <f>IF('Calculations'!F79="","",SUMIF('Calculations'!$E$70:$E$84,'Calculations'!E79,'Calculations'!$G$70:$G$84)*'Calculations'!$B$6)</f>
        <v/>
      </c>
      <c r="Q20" s="54">
        <f>IF('Calculations'!F79="","",SUMIF('Calculations'!$E$70:$E$84,'Calculations'!E79,'Calculations'!$H$70:$H$84)*'Calculations'!$B$6)</f>
        <v/>
      </c>
    </row>
    <row r="21" ht="38" customHeight="1">
      <c r="A21" s="45" t="inlineStr">
        <is>
          <t>T11</t>
        </is>
      </c>
      <c r="B21" s="46" t="n"/>
      <c r="C21" s="46" t="n"/>
      <c r="D21" s="47" t="n"/>
      <c r="E21" s="48" t="n"/>
      <c r="F21" s="49" t="n"/>
      <c r="G21" s="50" t="n"/>
      <c r="H21" s="49" t="n"/>
      <c r="I21" s="51" t="n"/>
      <c r="J21" s="48" t="n"/>
      <c r="K21" s="49" t="n"/>
      <c r="L21" s="50" t="n"/>
      <c r="M21" s="49" t="n"/>
      <c r="N21" s="51" t="n"/>
      <c r="O21" s="52" t="n"/>
      <c r="P21" s="53">
        <f>IF('Calculations'!F80="","",SUMIF('Calculations'!$E$70:$E$84,'Calculations'!E80,'Calculations'!$G$70:$G$84)*'Calculations'!$B$6)</f>
        <v/>
      </c>
      <c r="Q21" s="54">
        <f>IF('Calculations'!F80="","",SUMIF('Calculations'!$E$70:$E$84,'Calculations'!E80,'Calculations'!$H$70:$H$84)*'Calculations'!$B$6)</f>
        <v/>
      </c>
    </row>
    <row r="22" ht="38" customHeight="1">
      <c r="A22" s="45" t="inlineStr">
        <is>
          <t>T12</t>
        </is>
      </c>
      <c r="B22" s="46" t="n"/>
      <c r="C22" s="46" t="n"/>
      <c r="D22" s="47" t="n"/>
      <c r="E22" s="48" t="n"/>
      <c r="F22" s="49" t="n"/>
      <c r="G22" s="50" t="n"/>
      <c r="H22" s="49" t="n"/>
      <c r="I22" s="51" t="n"/>
      <c r="J22" s="48" t="n"/>
      <c r="K22" s="49" t="n"/>
      <c r="L22" s="50" t="n"/>
      <c r="M22" s="49" t="n"/>
      <c r="N22" s="51" t="n"/>
      <c r="O22" s="52" t="n"/>
      <c r="P22" s="53">
        <f>IF('Calculations'!F81="","",SUMIF('Calculations'!$E$70:$E$84,'Calculations'!E81,'Calculations'!$G$70:$G$84)*'Calculations'!$B$6)</f>
        <v/>
      </c>
      <c r="Q22" s="54">
        <f>IF('Calculations'!F81="","",SUMIF('Calculations'!$E$70:$E$84,'Calculations'!E81,'Calculations'!$H$70:$H$84)*'Calculations'!$B$6)</f>
        <v/>
      </c>
    </row>
    <row r="23" ht="38" customHeight="1">
      <c r="A23" s="45" t="inlineStr">
        <is>
          <t>T13</t>
        </is>
      </c>
      <c r="B23" s="46" t="n"/>
      <c r="C23" s="46" t="n"/>
      <c r="D23" s="47" t="n"/>
      <c r="E23" s="48" t="n"/>
      <c r="F23" s="49" t="n"/>
      <c r="G23" s="50" t="n"/>
      <c r="H23" s="49" t="n"/>
      <c r="I23" s="51" t="n"/>
      <c r="J23" s="48" t="n"/>
      <c r="K23" s="49" t="n"/>
      <c r="L23" s="50" t="n"/>
      <c r="M23" s="49" t="n"/>
      <c r="N23" s="51" t="n"/>
      <c r="O23" s="52" t="n"/>
      <c r="P23" s="53">
        <f>IF('Calculations'!F82="","",SUMIF('Calculations'!$E$70:$E$84,'Calculations'!E82,'Calculations'!$G$70:$G$84)*'Calculations'!$B$6)</f>
        <v/>
      </c>
      <c r="Q23" s="54">
        <f>IF('Calculations'!F82="","",SUMIF('Calculations'!$E$70:$E$84,'Calculations'!E82,'Calculations'!$H$70:$H$84)*'Calculations'!$B$6)</f>
        <v/>
      </c>
    </row>
    <row r="24" ht="38" customHeight="1">
      <c r="A24" s="45" t="inlineStr">
        <is>
          <t>T14</t>
        </is>
      </c>
      <c r="B24" s="46" t="n"/>
      <c r="C24" s="46" t="n"/>
      <c r="D24" s="47" t="n"/>
      <c r="E24" s="48" t="n"/>
      <c r="F24" s="49" t="n"/>
      <c r="G24" s="50" t="n"/>
      <c r="H24" s="49" t="n"/>
      <c r="I24" s="51" t="n"/>
      <c r="J24" s="48" t="n"/>
      <c r="K24" s="49" t="n"/>
      <c r="L24" s="50" t="n"/>
      <c r="M24" s="49" t="n"/>
      <c r="N24" s="51" t="n"/>
      <c r="O24" s="52" t="n"/>
      <c r="P24" s="53">
        <f>IF('Calculations'!F83="","",SUMIF('Calculations'!$E$70:$E$84,'Calculations'!E83,'Calculations'!$G$70:$G$84)*'Calculations'!$B$6)</f>
        <v/>
      </c>
      <c r="Q24" s="54">
        <f>IF('Calculations'!F83="","",SUMIF('Calculations'!$E$70:$E$84,'Calculations'!E83,'Calculations'!$H$70:$H$84)*'Calculations'!$B$6)</f>
        <v/>
      </c>
    </row>
    <row r="25" ht="38" customHeight="1">
      <c r="A25" s="45" t="inlineStr">
        <is>
          <t>T15</t>
        </is>
      </c>
      <c r="B25" s="46" t="n"/>
      <c r="C25" s="46" t="n"/>
      <c r="D25" s="47" t="n"/>
      <c r="E25" s="48" t="n"/>
      <c r="F25" s="49" t="n"/>
      <c r="G25" s="50" t="n"/>
      <c r="H25" s="49" t="n"/>
      <c r="I25" s="51" t="n"/>
      <c r="J25" s="48" t="n"/>
      <c r="K25" s="49" t="n"/>
      <c r="L25" s="50" t="n"/>
      <c r="M25" s="49" t="n"/>
      <c r="N25" s="51" t="n"/>
      <c r="O25" s="52" t="n"/>
      <c r="P25" s="53">
        <f>IF('Calculations'!F84="","",SUMIF('Calculations'!$E$70:$E$84,'Calculations'!E84,'Calculations'!$G$70:$G$84)*'Calculations'!$B$6)</f>
        <v/>
      </c>
      <c r="Q25" s="54">
        <f>IF('Calculations'!F84="","",SUMIF('Calculations'!$E$70:$E$84,'Calculations'!E84,'Calculations'!$H$70:$H$84)*'Calculations'!$B$6)</f>
        <v/>
      </c>
    </row>
    <row r="27" ht="44" customHeight="1">
      <c r="A27" s="30" t="inlineStr">
        <is>
          <t>All 15 rows are working rows. For a Proposed-only component, enter worker/shift identity, leave Current inactive or blank, then enter Proposed status and required Proposed fields. Casual may keep a rate with zero recurring units. Annualized base pay uses the engine's 365/7 factor and excludes allowances and employer payroll costs.</t>
        </is>
      </c>
    </row>
  </sheetData>
  <sheetProtection selectLockedCells="0" selectUnlockedCells="0" sheet="1" objects="0" insertRows="1" insertHyperlinks="1" autoFilter="0" scenarios="0" formatColumns="1" deleteColumns="1" insertColumns="1" pivotTables="1" deleteRows="1" formatCells="1" formatRows="1" sort="0"/>
  <mergeCells count="31">
    <mergeCell ref="I7:Q7"/>
    <mergeCell ref="O4:Q4"/>
    <mergeCell ref="A1:Q1"/>
    <mergeCell ref="A6:H6"/>
    <mergeCell ref="C4:D4"/>
    <mergeCell ref="E4:F4"/>
    <mergeCell ref="A9:D9"/>
    <mergeCell ref="J9:N9"/>
    <mergeCell ref="A7:H7"/>
    <mergeCell ref="I5:Q5"/>
    <mergeCell ref="A3:B3"/>
    <mergeCell ref="G3:H3"/>
    <mergeCell ref="E9:I9"/>
    <mergeCell ref="I3:J3"/>
    <mergeCell ref="A27:Q27"/>
    <mergeCell ref="A2:H2"/>
    <mergeCell ref="M3:N3"/>
    <mergeCell ref="A5:H5"/>
    <mergeCell ref="O3:Q3"/>
    <mergeCell ref="A4:B4"/>
    <mergeCell ref="G4:H4"/>
    <mergeCell ref="I6:Q6"/>
    <mergeCell ref="A8:Q8"/>
    <mergeCell ref="I4:J4"/>
    <mergeCell ref="I2:Q2"/>
    <mergeCell ref="O9:Q9"/>
    <mergeCell ref="K4:L4"/>
    <mergeCell ref="C3:D3"/>
    <mergeCell ref="M4:N4"/>
    <mergeCell ref="E3:F3"/>
    <mergeCell ref="K3:L3"/>
  </mergeCells>
  <conditionalFormatting sqref="G4:H4">
    <cfRule type="expression" priority="1" dxfId="0">
      <formula>G4&gt;0.005</formula>
    </cfRule>
    <cfRule type="expression" priority="2" dxfId="1">
      <formula>G4&lt;-0.005</formula>
    </cfRule>
    <cfRule type="expression" priority="3" dxfId="2">
      <formula>ABS(G4)&lt;=0.005</formula>
    </cfRule>
  </conditionalFormatting>
  <conditionalFormatting sqref="O4:Q4">
    <cfRule type="expression" priority="4" dxfId="0">
      <formula>O4&gt;0.005</formula>
    </cfRule>
    <cfRule type="expression" priority="5" dxfId="1">
      <formula>O4&lt;-0.005</formula>
    </cfRule>
    <cfRule type="expression" priority="6" dxfId="2">
      <formula>ABS(O4)&lt;=0.005</formula>
    </cfRule>
  </conditionalFormatting>
  <conditionalFormatting sqref="A6:H6">
    <cfRule type="expression" priority="7" dxfId="0">
      <formula>A6&gt;0.005</formula>
    </cfRule>
    <cfRule type="expression" priority="8" dxfId="1">
      <formula>A6&lt;-0.005</formula>
    </cfRule>
    <cfRule type="expression" priority="9" dxfId="2">
      <formula>ABS(A6)&lt;=0.005</formula>
    </cfRule>
  </conditionalFormatting>
  <conditionalFormatting sqref="I6:Q6">
    <cfRule type="expression" priority="10" dxfId="0">
      <formula>I6&gt;0.005</formula>
    </cfRule>
    <cfRule type="expression" priority="11" dxfId="1">
      <formula>I6&lt;-0.005</formula>
    </cfRule>
    <cfRule type="expression" priority="12" dxfId="2">
      <formula>ABS(I6)&lt;=0.005</formula>
    </cfRule>
  </conditionalFormatting>
  <dataValidations count="3">
    <dataValidation sqref="E11:E25 J11:J25" showDropDown="0" showInputMessage="0" showErrorMessage="1" allowBlank="1" errorTitle="Invalid value" error="Choose a value from the list." type="list">
      <formula1>"Scheduled,Casual,Inactive"</formula1>
    </dataValidation>
    <dataValidation sqref="D11:D25" showDropDown="0" showInputMessage="0" showErrorMessage="1" allowBlank="1" errorTitle="Invalid value" error="Choose a value from the list." type="list">
      <formula1>"Hour,Day,Shift"</formula1>
    </dataValidation>
    <dataValidation sqref="I11:I25 N11:N25" showDropDown="0" showInputMessage="0" showErrorMessage="0" allowBlank="1" errorTitle="Vacation %" error="Enter a percentage from 0% to 100%, or leave Proposed blank to inherit Current." type="decimal" operator="between">
      <formula1>0</formula1>
      <formula2>1</formula2>
    </dataValidation>
  </dataValidations>
  <pageMargins left="0.35" right="0.35" top="0.5" bottom="0.5" header="0.5" footer="0.5"/>
  <pageSetup orientation="landscape" paperSize="3" fitToHeight="1" fitToWidth="1"/>
  <headerFooter>
    <oddHeader>&amp;LCare Team Budget Planner — Care Team</oddHeader>
    <oddFooter>&amp;LUnreleased v1.2 preview</oddFooter>
    <evenHeader/>
    <evenFooter/>
    <firstHeader/>
    <firstFooter/>
  </headerFooter>
</worksheet>
</file>

<file path=xl/worksheets/sheet3.xml><?xml version="1.0" encoding="utf-8"?>
<worksheet xmlns="http://schemas.openxmlformats.org/spreadsheetml/2006/main">
  <sheetPr>
    <tabColor rgb="0070AD47"/>
    <outlinePr summaryBelow="1" summaryRight="1"/>
    <pageSetUpPr fitToPage="1"/>
  </sheetPr>
  <dimension ref="A1:L24"/>
  <sheetViews>
    <sheetView showGridLines="0" zoomScale="100" zoomScaleNormal="100" workbookViewId="0">
      <pane ySplit="8" topLeftCell="A9" activePane="bottomLeft" state="frozen"/>
      <selection pane="bottomLeft" activeCell="A1" sqref="A1"/>
    </sheetView>
  </sheetViews>
  <sheetFormatPr baseColWidth="8" defaultRowHeight="15"/>
  <cols>
    <col width="30" customWidth="1" min="1" max="1"/>
    <col width="14" customWidth="1" min="2" max="2"/>
    <col width="15" customWidth="1" min="3" max="3"/>
    <col width="3" customWidth="1" min="4" max="4"/>
    <col width="15" customWidth="1" min="5" max="5"/>
    <col width="16" customWidth="1" min="6" max="6"/>
    <col width="14" customWidth="1" min="7" max="7"/>
    <col width="26" customWidth="1" min="8" max="8"/>
    <col width="18" customWidth="1" min="9" max="9"/>
    <col width="18" customWidth="1" min="10" max="10"/>
    <col width="18" customWidth="1" min="11" max="11"/>
    <col width="18" customWidth="1" min="12" max="12"/>
  </cols>
  <sheetData>
    <row r="1" ht="30" customHeight="1">
      <c r="A1" s="1" t="inlineStr">
        <is>
          <t>Expenses</t>
        </is>
      </c>
      <c r="B1" s="2" t="n"/>
      <c r="C1" s="2" t="n"/>
      <c r="D1" s="2" t="n"/>
      <c r="E1" s="2" t="n"/>
      <c r="F1" s="2" t="n"/>
      <c r="G1" s="2" t="n"/>
      <c r="H1" s="2" t="n"/>
      <c r="I1" s="2" t="n"/>
      <c r="J1" s="2" t="n"/>
      <c r="K1" s="2" t="n"/>
      <c r="L1" s="2" t="n"/>
    </row>
    <row r="2" ht="22" customHeight="1">
      <c r="A2" s="3" t="inlineStr">
        <is>
          <t>CURRENT PLAN</t>
        </is>
      </c>
      <c r="B2" s="4" t="n"/>
      <c r="C2" s="4" t="n"/>
      <c r="D2" s="4" t="n"/>
      <c r="E2" s="4" t="n"/>
      <c r="F2" s="4" t="n"/>
      <c r="G2" s="5" t="inlineStr">
        <is>
          <t>PROPOSED PLAN</t>
        </is>
      </c>
      <c r="H2" s="6" t="n"/>
      <c r="I2" s="6" t="n"/>
      <c r="J2" s="6" t="n"/>
      <c r="K2" s="6" t="n"/>
      <c r="L2" s="6" t="n"/>
    </row>
    <row r="3" ht="30" customHeight="1">
      <c r="A3" s="7" t="inlineStr">
        <is>
          <t>FUNDING / MONTH</t>
        </is>
      </c>
      <c r="B3" s="4" t="n"/>
      <c r="C3" s="7" t="inlineStr">
        <is>
          <t>CARE HOURS / MONTH</t>
        </is>
      </c>
      <c r="D3" s="7" t="inlineStr">
        <is>
          <t>TOTAL COST / MONTH</t>
        </is>
      </c>
      <c r="E3" s="4" t="n"/>
      <c r="F3" s="7" t="inlineStr">
        <is>
          <t>OPERATING BALANCE / MONTH</t>
        </is>
      </c>
      <c r="G3" s="8" t="inlineStr">
        <is>
          <t>FUNDING / MONTH</t>
        </is>
      </c>
      <c r="H3" s="6" t="n"/>
      <c r="I3" s="8" t="inlineStr">
        <is>
          <t>CARE HOURS / MONTH</t>
        </is>
      </c>
      <c r="J3" s="8" t="inlineStr">
        <is>
          <t>TOTAL COST / MONTH</t>
        </is>
      </c>
      <c r="K3" s="6" t="n"/>
      <c r="L3" s="8" t="inlineStr">
        <is>
          <t>OPERATING BALANCE / MONTH</t>
        </is>
      </c>
    </row>
    <row r="4" ht="34" customHeight="1">
      <c r="A4" s="9">
        <f>'Calculations'!B24</f>
        <v/>
      </c>
      <c r="B4" s="4" t="n"/>
      <c r="C4" s="10">
        <f>'Calculations'!B34</f>
        <v/>
      </c>
      <c r="D4" s="9">
        <f>'Calculations'!B56</f>
        <v/>
      </c>
      <c r="E4" s="4" t="n"/>
      <c r="F4" s="11">
        <f>'Calculations'!B60</f>
        <v/>
      </c>
      <c r="G4" s="12">
        <f>'Calculations'!C24</f>
        <v/>
      </c>
      <c r="H4" s="6" t="n"/>
      <c r="I4" s="13">
        <f>'Calculations'!C34</f>
        <v/>
      </c>
      <c r="J4" s="12">
        <f>'Calculations'!C56</f>
        <v/>
      </c>
      <c r="K4" s="6" t="n"/>
      <c r="L4" s="14">
        <f>'Calculations'!C60</f>
        <v/>
      </c>
    </row>
    <row r="5" ht="21" customHeight="1">
      <c r="A5" s="15" t="inlineStr">
        <is>
          <t>12-MONTH OPERATING RESERVE</t>
        </is>
      </c>
      <c r="B5" s="4" t="n"/>
      <c r="C5" s="4" t="n"/>
      <c r="D5" s="4" t="n"/>
      <c r="E5" s="4" t="n"/>
      <c r="F5" s="4" t="n"/>
      <c r="G5" s="16" t="inlineStr">
        <is>
          <t>12-MONTH OPERATING RESERVE</t>
        </is>
      </c>
      <c r="H5" s="6" t="n"/>
      <c r="I5" s="6" t="n"/>
      <c r="J5" s="6" t="n"/>
      <c r="K5" s="6" t="n"/>
      <c r="L5" s="6" t="n"/>
    </row>
    <row r="6" ht="35" customHeight="1">
      <c r="A6" s="17">
        <f>'Calculations'!B61</f>
        <v/>
      </c>
      <c r="B6" s="4" t="n"/>
      <c r="C6" s="4" t="n"/>
      <c r="D6" s="4" t="n"/>
      <c r="E6" s="4" t="n"/>
      <c r="F6" s="4" t="n"/>
      <c r="G6" s="18">
        <f>'Calculations'!C61</f>
        <v/>
      </c>
      <c r="H6" s="6" t="n"/>
      <c r="I6" s="6" t="n"/>
      <c r="J6" s="6" t="n"/>
      <c r="K6" s="6" t="n"/>
      <c r="L6" s="6" t="n"/>
    </row>
    <row r="7" ht="22" customHeight="1">
      <c r="A7" s="19">
        <f>IF('Calculations'!B60&gt;0.005,"Operating surplus · reserve grows",IF('Calculations'!B60&lt;-0.005,"Operating deficit · reserve declines","Break-even · reserve is unchanged"))</f>
        <v/>
      </c>
      <c r="B7" s="4" t="n"/>
      <c r="C7" s="4" t="n"/>
      <c r="D7" s="4" t="n"/>
      <c r="E7" s="4" t="n"/>
      <c r="F7" s="4" t="n"/>
      <c r="G7" s="20">
        <f>IF('Calculations'!C60&gt;0.005,"Operating surplus · reserve grows",IF('Calculations'!C60&lt;-0.005,"Operating deficit · reserve declines","Break-even · reserve is unchanged"))</f>
        <v/>
      </c>
      <c r="H7" s="6" t="n"/>
      <c r="I7" s="6" t="n"/>
      <c r="J7" s="6" t="n"/>
      <c r="K7" s="6" t="n"/>
      <c r="L7" s="6" t="n"/>
    </row>
    <row r="8" ht="24" customHeight="1">
      <c r="A8" s="21" t="inlineStr">
        <is>
          <t>EXPENSES · edit recurring operating expenses</t>
        </is>
      </c>
      <c r="B8" s="22" t="n"/>
      <c r="C8" s="22" t="n"/>
      <c r="D8" s="22" t="n"/>
      <c r="E8" s="22" t="n"/>
      <c r="F8" s="22" t="n"/>
      <c r="G8" s="22" t="n"/>
      <c r="H8" s="22" t="n"/>
      <c r="I8" s="22" t="n"/>
      <c r="J8" s="22" t="n"/>
      <c r="K8" s="22" t="n"/>
      <c r="L8" s="22" t="n"/>
    </row>
    <row r="10" ht="42" customHeight="1">
      <c r="A10" s="43" t="inlineStr">
        <is>
          <t>Expense</t>
        </is>
      </c>
      <c r="B10" s="65" t="n"/>
      <c r="C10" s="43" t="inlineStr">
        <is>
          <t>Current / month</t>
        </is>
      </c>
      <c r="D10" s="66" t="n"/>
      <c r="E10" s="44" t="inlineStr">
        <is>
          <t>Proposed / month</t>
        </is>
      </c>
      <c r="F10" s="44" t="inlineStr">
        <is>
          <t>Effective proposed</t>
        </is>
      </c>
      <c r="G10" s="44" t="inlineStr">
        <is>
          <t>Change</t>
        </is>
      </c>
      <c r="H10" s="67" t="inlineStr">
        <is>
          <t>Policy limit / status / guidance</t>
        </is>
      </c>
      <c r="I10" s="68" t="n"/>
      <c r="J10" s="68" t="n"/>
      <c r="K10" s="68" t="n"/>
      <c r="L10" s="69" t="n"/>
    </row>
    <row r="11" ht="35" customHeight="1">
      <c r="A11" s="37" t="inlineStr">
        <is>
          <t>Accounting / bookkeeping / payroll services</t>
        </is>
      </c>
      <c r="C11" s="26" t="n">
        <v>141.26</v>
      </c>
      <c r="E11" s="26" t="n"/>
      <c r="F11" s="35">
        <f>IF(E11="",C11,E11)</f>
        <v/>
      </c>
      <c r="G11" s="35">
        <f>F11-C11</f>
        <v/>
      </c>
      <c r="H11" s="70">
        <f>IF(F11&gt;'Parameters'!C21+0.005,"Limit "&amp;TEXT('Parameters'!C21,"$#,##0.00")&amp;"/month — exceeds by "&amp;TEXT(F11-'Parameters'!C21,"$#,##0.00"),IF(ABS(F11-'Parameters'!C21)&lt;=0.005,"Limit "&amp;TEXT('Parameters'!C21,"$#,##0.00")&amp;"/month — at limit","Limit "&amp;TEXT('Parameters'!C21,"$#,##0.00")&amp;"/month — within limit"))</f>
        <v/>
      </c>
    </row>
    <row r="12" ht="35" customHeight="1">
      <c r="A12" s="37" t="inlineStr">
        <is>
          <t>Bank charges</t>
        </is>
      </c>
      <c r="C12" s="26" t="n">
        <v>20</v>
      </c>
      <c r="E12" s="26" t="n"/>
      <c r="F12" s="35">
        <f>IF(E12="",C12,E12)</f>
        <v/>
      </c>
      <c r="G12" s="35">
        <f>F12-C12</f>
        <v/>
      </c>
      <c r="H12" s="70">
        <f>IF(F12&gt;'Parameters'!C22+0.005,"Limit "&amp;TEXT('Parameters'!C22,"$#,##0.00")&amp;"/month — exceeds by "&amp;TEXT(F12-'Parameters'!C22,"$#,##0.00"),IF(ABS(F12-'Parameters'!C22)&lt;=0.005,"Limit "&amp;TEXT('Parameters'!C22,"$#,##0.00")&amp;"/month — at limit","Limit "&amp;TEXT('Parameters'!C22,"$#,##0.00")&amp;"/month — within limit"))</f>
        <v/>
      </c>
    </row>
    <row r="13" ht="35" customHeight="1">
      <c r="A13" s="37" t="inlineStr">
        <is>
          <t>Administrative expenses</t>
        </is>
      </c>
      <c r="C13" s="26" t="n">
        <v>0</v>
      </c>
      <c r="E13" s="26" t="n"/>
      <c r="F13" s="35">
        <f>IF(E13="",C13,E13)</f>
        <v/>
      </c>
      <c r="G13" s="35">
        <f>F13-C13</f>
        <v/>
      </c>
      <c r="H13" s="70">
        <f>IF(F13*12&gt;'Parameters'!C23+0.005,"Annual limit "&amp;TEXT('Parameters'!C23,"$#,##0.00")&amp;" — exceeds by "&amp;TEXT(F13*12-'Parameters'!C23,"$#,##0.00"),IF(ABS(F13*12-'Parameters'!C23)&lt;=0.005,"Annual limit "&amp;TEXT('Parameters'!C23,"$#,##0.00")&amp;" — at limit","Annual limit "&amp;TEXT('Parameters'!C23,"$#,##0.00")&amp;" — within limit"))</f>
        <v/>
      </c>
    </row>
    <row r="14" ht="35" customHeight="1">
      <c r="A14" s="37" t="inlineStr">
        <is>
          <t>Advertising</t>
        </is>
      </c>
      <c r="C14" s="26" t="n">
        <v>0</v>
      </c>
      <c r="E14" s="26" t="n"/>
      <c r="F14" s="35">
        <f>IF(E14="",C14,E14)</f>
        <v/>
      </c>
      <c r="G14" s="35">
        <f>F14-C14</f>
        <v/>
      </c>
      <c r="H14" s="70">
        <f>IF(F14*12&gt;'Parameters'!C26+0.005,"Annual limit "&amp;TEXT('Parameters'!C26,"$#,##0.00")&amp;" — exceeds by "&amp;TEXT(F14*12-'Parameters'!C26,"$#,##0.00"),IF(ABS(F14*12-'Parameters'!C26)&lt;=0.005,"Annual limit "&amp;TEXT('Parameters'!C26,"$#,##0.00")&amp;" — at limit","Annual limit "&amp;TEXT('Parameters'!C26,"$#,##0.00")&amp;" — within limit"))</f>
        <v/>
      </c>
    </row>
    <row r="15" ht="35" customHeight="1">
      <c r="A15" s="37" t="inlineStr">
        <is>
          <t>Recruitment facilitation</t>
        </is>
      </c>
      <c r="C15" s="26" t="n">
        <v>200</v>
      </c>
      <c r="E15" s="26" t="n"/>
      <c r="F15" s="35">
        <f>IF(E15="",C15,E15)</f>
        <v/>
      </c>
      <c r="G15" s="35">
        <f>F15-C15</f>
        <v/>
      </c>
      <c r="H15" s="70">
        <f>IF(F15&gt;'Parameters'!C27+0.005,"Limit "&amp;TEXT('Parameters'!C27,"$#,##0.00")&amp;"/month — exceeds by "&amp;TEXT(F15-'Parameters'!C27,"$#,##0.00"),IF(ABS(F15-'Parameters'!C27)&lt;=0.005,"Limit "&amp;TEXT('Parameters'!C27,"$#,##0.00")&amp;"/month — at limit","Limit "&amp;TEXT('Parameters'!C27,"$#,##0.00")&amp;"/month — within limit"))</f>
        <v/>
      </c>
    </row>
    <row r="16" ht="35" customHeight="1">
      <c r="A16" s="37" t="inlineStr">
        <is>
          <t>Safety / PPE supplies</t>
        </is>
      </c>
      <c r="C16" s="26" t="n">
        <v>25</v>
      </c>
      <c r="E16" s="26" t="n"/>
      <c r="F16" s="35">
        <f>IF(E16="",C16,E16)</f>
        <v/>
      </c>
      <c r="G16" s="35">
        <f>F16-C16</f>
        <v/>
      </c>
      <c r="H16" s="70">
        <f>IF(F16&gt;'Parameters'!C30+0.005,"Limit "&amp;TEXT('Parameters'!C30,"$#,##0.00")&amp;"/month — exceeds by "&amp;TEXT(F16-'Parameters'!C30,"$#,##0.00"),IF(ABS(F16-'Parameters'!C30)&lt;=0.005,"Limit "&amp;TEXT('Parameters'!C30,"$#,##0.00")&amp;"/month — at limit","Limit "&amp;TEXT('Parameters'!C30,"$#,##0.00")&amp;"/month — within limit"))</f>
        <v/>
      </c>
    </row>
    <row r="17" ht="35" customHeight="1">
      <c r="A17" s="37" t="inlineStr">
        <is>
          <t>Education / professional development</t>
        </is>
      </c>
      <c r="C17" s="26" t="n">
        <v>0</v>
      </c>
      <c r="E17" s="26" t="n"/>
      <c r="F17" s="35">
        <f>IF(E17="",C17,E17)</f>
        <v/>
      </c>
      <c r="G17" s="35">
        <f>F17-C17</f>
        <v/>
      </c>
      <c r="H17" s="70">
        <f>"Verified limit "&amp;TEXT('Parameters'!C33,"$#,##0.00")&amp;" per new employee — compare timing in Parameters"</f>
        <v/>
      </c>
    </row>
    <row r="18" ht="35" customHeight="1">
      <c r="A18" s="37" t="inlineStr">
        <is>
          <t>Extended medical and dental benefits</t>
        </is>
      </c>
      <c r="C18" s="26" t="n">
        <v>0</v>
      </c>
      <c r="E18" s="26" t="n"/>
      <c r="F18" s="35">
        <f>IF(E18="",C18,E18)</f>
        <v/>
      </c>
      <c r="G18" s="35">
        <f>F18-C18</f>
        <v/>
      </c>
      <c r="H18" s="70">
        <f>"Allowable — no fixed limit identified"</f>
        <v/>
      </c>
    </row>
    <row r="19" ht="35" customHeight="1">
      <c r="A19" s="37" t="inlineStr">
        <is>
          <t>Food for live-in employees</t>
        </is>
      </c>
      <c r="C19" s="26" t="n">
        <v>0</v>
      </c>
      <c r="E19" s="26" t="n"/>
      <c r="F19" s="35">
        <f>IF(E19="",C19,E19)</f>
        <v/>
      </c>
      <c r="G19" s="35">
        <f>F19-C19</f>
        <v/>
      </c>
      <c r="H19" s="70">
        <f>IF(F19&gt;'Parameters'!C32+0.005,"Limit "&amp;TEXT('Parameters'!C32,"$#,##0.00")&amp;"/month — exceeds by "&amp;TEXT(F19-'Parameters'!C32,"$#,##0.00"),IF(ABS(F19-'Parameters'!C32)&lt;=0.005,"Limit "&amp;TEXT('Parameters'!C32,"$#,##0.00")&amp;"/month — at limit","Limit "&amp;TEXT('Parameters'!C32,"$#,##0.00")&amp;"/month — within limit"))</f>
        <v/>
      </c>
    </row>
    <row r="20" ht="35" customHeight="1">
      <c r="A20" s="37" t="inlineStr">
        <is>
          <t>Other (HA prior approval)</t>
        </is>
      </c>
      <c r="C20" s="26" t="n">
        <v>0</v>
      </c>
      <c r="E20" s="26" t="n"/>
      <c r="F20" s="35">
        <f>IF(E20="",C20,E20)</f>
        <v/>
      </c>
      <c r="G20" s="35">
        <f>F20-C20</f>
        <v/>
      </c>
      <c r="H20" s="70">
        <f>"Prior approval required — confirm with the health authority"</f>
        <v/>
      </c>
    </row>
    <row r="22">
      <c r="A22" s="25" t="inlineStr">
        <is>
          <t>Total operating expenses</t>
        </is>
      </c>
      <c r="C22" s="28">
        <f>'Calculations'!B55</f>
        <v/>
      </c>
      <c r="F22" s="29">
        <f>'Calculations'!C55</f>
        <v/>
      </c>
      <c r="G22" s="29">
        <f>F22-C22</f>
        <v/>
      </c>
    </row>
    <row r="24" ht="40" customHeight="1">
      <c r="A24" s="30" t="inlineStr">
        <is>
          <t>Blank Proposed amount inherits Current. Enter 0 to remove that recurring cost. Desired reserve growth is separate and stays on Funding. Parameters is the maintained source for policy figures and evidence.</t>
        </is>
      </c>
    </row>
  </sheetData>
  <sheetProtection selectLockedCells="0" selectUnlockedCells="0" sheet="1" objects="0" insertRows="1" insertHyperlinks="1" autoFilter="0" scenarios="0" formatColumns="1" deleteColumns="1" insertColumns="1" pivotTables="1" deleteRows="1" formatCells="1" formatRows="1" sort="0"/>
  <mergeCells count="42">
    <mergeCell ref="A15:B15"/>
    <mergeCell ref="H20:L20"/>
    <mergeCell ref="G6:L6"/>
    <mergeCell ref="A11:B11"/>
    <mergeCell ref="H10:L10"/>
    <mergeCell ref="A2:F2"/>
    <mergeCell ref="A16:B16"/>
    <mergeCell ref="G5:L5"/>
    <mergeCell ref="A5:F5"/>
    <mergeCell ref="A8:L8"/>
    <mergeCell ref="A18:B18"/>
    <mergeCell ref="A3:B3"/>
    <mergeCell ref="G3:H3"/>
    <mergeCell ref="A12:B12"/>
    <mergeCell ref="J4:K4"/>
    <mergeCell ref="H17:L17"/>
    <mergeCell ref="H11:L11"/>
    <mergeCell ref="H16:L16"/>
    <mergeCell ref="A14:B14"/>
    <mergeCell ref="D4:E4"/>
    <mergeCell ref="H13:L13"/>
    <mergeCell ref="A17:B17"/>
    <mergeCell ref="H19:L19"/>
    <mergeCell ref="D3:E3"/>
    <mergeCell ref="A22:B22"/>
    <mergeCell ref="A4:B4"/>
    <mergeCell ref="G4:H4"/>
    <mergeCell ref="J3:K3"/>
    <mergeCell ref="A20:B20"/>
    <mergeCell ref="A24:L24"/>
    <mergeCell ref="G2:L2"/>
    <mergeCell ref="H12:L12"/>
    <mergeCell ref="H15:L15"/>
    <mergeCell ref="A19:B19"/>
    <mergeCell ref="A1:L1"/>
    <mergeCell ref="A10:B10"/>
    <mergeCell ref="A6:F6"/>
    <mergeCell ref="A13:B13"/>
    <mergeCell ref="H14:L14"/>
    <mergeCell ref="H18:L18"/>
    <mergeCell ref="A7:F7"/>
    <mergeCell ref="G7:L7"/>
  </mergeCells>
  <conditionalFormatting sqref="F4">
    <cfRule type="expression" priority="1" dxfId="0">
      <formula>F4&gt;0.005</formula>
    </cfRule>
    <cfRule type="expression" priority="2" dxfId="1">
      <formula>F4&lt;-0.005</formula>
    </cfRule>
    <cfRule type="expression" priority="3" dxfId="2">
      <formula>ABS(F4)&lt;=0.005</formula>
    </cfRule>
  </conditionalFormatting>
  <conditionalFormatting sqref="L4">
    <cfRule type="expression" priority="4" dxfId="0">
      <formula>L4&gt;0.005</formula>
    </cfRule>
    <cfRule type="expression" priority="5" dxfId="1">
      <formula>L4&lt;-0.005</formula>
    </cfRule>
    <cfRule type="expression" priority="6" dxfId="2">
      <formula>ABS(L4)&lt;=0.005</formula>
    </cfRule>
  </conditionalFormatting>
  <conditionalFormatting sqref="A6:F6">
    <cfRule type="expression" priority="7" dxfId="0">
      <formula>A6&gt;0.005</formula>
    </cfRule>
    <cfRule type="expression" priority="8" dxfId="1">
      <formula>A6&lt;-0.005</formula>
    </cfRule>
    <cfRule type="expression" priority="9" dxfId="2">
      <formula>ABS(A6)&lt;=0.005</formula>
    </cfRule>
  </conditionalFormatting>
  <conditionalFormatting sqref="G6:L6">
    <cfRule type="expression" priority="10" dxfId="0">
      <formula>G6&gt;0.005</formula>
    </cfRule>
    <cfRule type="expression" priority="11" dxfId="1">
      <formula>G6&lt;-0.005</formula>
    </cfRule>
    <cfRule type="expression" priority="12" dxfId="2">
      <formula>ABS(G6)&lt;=0.005</formula>
    </cfRule>
  </conditionalFormatting>
  <conditionalFormatting sqref="H11">
    <cfRule type="expression" priority="13" dxfId="2">
      <formula>OR(ISNUMBER(SEARCH("exceeds",H11)),ISNUMBER(SEARCH("Prior approval",H11)))</formula>
    </cfRule>
  </conditionalFormatting>
  <conditionalFormatting sqref="H12">
    <cfRule type="expression" priority="14" dxfId="2">
      <formula>OR(ISNUMBER(SEARCH("exceeds",H12)),ISNUMBER(SEARCH("Prior approval",H12)))</formula>
    </cfRule>
  </conditionalFormatting>
  <conditionalFormatting sqref="H13">
    <cfRule type="expression" priority="15" dxfId="2">
      <formula>OR(ISNUMBER(SEARCH("exceeds",H13)),ISNUMBER(SEARCH("Prior approval",H13)))</formula>
    </cfRule>
  </conditionalFormatting>
  <conditionalFormatting sqref="H14">
    <cfRule type="expression" priority="16" dxfId="2">
      <formula>OR(ISNUMBER(SEARCH("exceeds",H14)),ISNUMBER(SEARCH("Prior approval",H14)))</formula>
    </cfRule>
  </conditionalFormatting>
  <conditionalFormatting sqref="H15">
    <cfRule type="expression" priority="17" dxfId="2">
      <formula>OR(ISNUMBER(SEARCH("exceeds",H15)),ISNUMBER(SEARCH("Prior approval",H15)))</formula>
    </cfRule>
  </conditionalFormatting>
  <conditionalFormatting sqref="H16">
    <cfRule type="expression" priority="18" dxfId="2">
      <formula>OR(ISNUMBER(SEARCH("exceeds",H16)),ISNUMBER(SEARCH("Prior approval",H16)))</formula>
    </cfRule>
  </conditionalFormatting>
  <conditionalFormatting sqref="H17">
    <cfRule type="expression" priority="19" dxfId="2">
      <formula>OR(ISNUMBER(SEARCH("exceeds",H17)),ISNUMBER(SEARCH("Prior approval",H17)))</formula>
    </cfRule>
  </conditionalFormatting>
  <conditionalFormatting sqref="H18">
    <cfRule type="expression" priority="20" dxfId="2">
      <formula>OR(ISNUMBER(SEARCH("exceeds",H18)),ISNUMBER(SEARCH("Prior approval",H18)))</formula>
    </cfRule>
  </conditionalFormatting>
  <conditionalFormatting sqref="H19">
    <cfRule type="expression" priority="21" dxfId="2">
      <formula>OR(ISNUMBER(SEARCH("exceeds",H19)),ISNUMBER(SEARCH("Prior approval",H19)))</formula>
    </cfRule>
  </conditionalFormatting>
  <conditionalFormatting sqref="H20">
    <cfRule type="expression" priority="22" dxfId="2">
      <formula>OR(ISNUMBER(SEARCH("exceeds",H20)),ISNUMBER(SEARCH("Prior approval",H20)))</formula>
    </cfRule>
  </conditionalFormatting>
  <pageMargins left="0.35" right="0.35" top="0.5" bottom="0.5" header="0.5" footer="0.5"/>
  <pageSetup orientation="landscape" paperSize="1" fitToHeight="1" fitToWidth="1"/>
  <headerFooter>
    <oddHeader>&amp;LCare Team Budget Planner — Expenses</oddHeader>
    <oddFooter>&amp;LUnreleased v1.2 preview</oddFooter>
    <evenHeader/>
    <evenFooter/>
    <firstHeader/>
    <firstFooter/>
  </headerFooter>
</worksheet>
</file>

<file path=xl/worksheets/sheet4.xml><?xml version="1.0" encoding="utf-8"?>
<worksheet xmlns="http://schemas.openxmlformats.org/spreadsheetml/2006/main">
  <sheetPr>
    <tabColor rgb="00548235"/>
    <outlinePr summaryBelow="1" summaryRight="1"/>
    <pageSetUpPr fitToPage="1"/>
  </sheetPr>
  <dimension ref="A1:L44"/>
  <sheetViews>
    <sheetView showGridLines="0" zoomScale="100" zoomScaleNormal="100" workbookViewId="0">
      <pane ySplit="8" topLeftCell="A9" activePane="bottomLeft" state="frozen"/>
      <selection pane="bottomLeft" activeCell="A1" sqref="A1"/>
    </sheetView>
  </sheetViews>
  <sheetFormatPr baseColWidth="8" defaultRowHeight="15"/>
  <cols>
    <col width="20" customWidth="1" min="1" max="1"/>
    <col width="15" customWidth="1" min="2" max="2"/>
    <col width="15" customWidth="1" min="3" max="3"/>
    <col width="18" customWidth="1" min="4" max="4"/>
    <col width="16" customWidth="1" min="5" max="5"/>
    <col width="16" customWidth="1" min="6" max="6"/>
    <col width="18" customWidth="1" min="7" max="7"/>
    <col width="16" customWidth="1" min="8" max="8"/>
    <col width="16" customWidth="1" min="9" max="9"/>
    <col width="18" customWidth="1" min="10" max="10"/>
    <col width="16" customWidth="1" min="11" max="11"/>
    <col width="16" customWidth="1" min="12" max="12"/>
  </cols>
  <sheetData>
    <row r="1" ht="30" customHeight="1">
      <c r="A1" s="1" t="inlineStr">
        <is>
          <t>Client Review</t>
        </is>
      </c>
      <c r="B1" s="2" t="n"/>
      <c r="C1" s="2" t="n"/>
      <c r="D1" s="2" t="n"/>
      <c r="E1" s="2" t="n"/>
      <c r="F1" s="2" t="n"/>
      <c r="G1" s="2" t="n"/>
      <c r="H1" s="2" t="n"/>
      <c r="I1" s="2" t="n"/>
      <c r="J1" s="2" t="n"/>
      <c r="K1" s="2" t="n"/>
      <c r="L1" s="2" t="n"/>
    </row>
    <row r="2" ht="22" customHeight="1">
      <c r="A2" s="3" t="inlineStr">
        <is>
          <t>CURRENT PLAN</t>
        </is>
      </c>
      <c r="B2" s="4" t="n"/>
      <c r="C2" s="4" t="n"/>
      <c r="D2" s="4" t="n"/>
      <c r="E2" s="4" t="n"/>
      <c r="F2" s="4" t="n"/>
      <c r="G2" s="5" t="inlineStr">
        <is>
          <t>PROPOSED PLAN</t>
        </is>
      </c>
      <c r="H2" s="6" t="n"/>
      <c r="I2" s="6" t="n"/>
      <c r="J2" s="6" t="n"/>
      <c r="K2" s="6" t="n"/>
      <c r="L2" s="6" t="n"/>
    </row>
    <row r="3" ht="30" customHeight="1">
      <c r="A3" s="7" t="inlineStr">
        <is>
          <t>FUNDING / MONTH</t>
        </is>
      </c>
      <c r="B3" s="4" t="n"/>
      <c r="C3" s="7" t="inlineStr">
        <is>
          <t>CARE HOURS / MONTH</t>
        </is>
      </c>
      <c r="D3" s="7" t="inlineStr">
        <is>
          <t>TOTAL COST / MONTH</t>
        </is>
      </c>
      <c r="E3" s="4" t="n"/>
      <c r="F3" s="7" t="inlineStr">
        <is>
          <t>OPERATING BALANCE / MONTH</t>
        </is>
      </c>
      <c r="G3" s="8" t="inlineStr">
        <is>
          <t>FUNDING / MONTH</t>
        </is>
      </c>
      <c r="H3" s="6" t="n"/>
      <c r="I3" s="8" t="inlineStr">
        <is>
          <t>CARE HOURS / MONTH</t>
        </is>
      </c>
      <c r="J3" s="8" t="inlineStr">
        <is>
          <t>TOTAL COST / MONTH</t>
        </is>
      </c>
      <c r="K3" s="6" t="n"/>
      <c r="L3" s="8" t="inlineStr">
        <is>
          <t>OPERATING BALANCE / MONTH</t>
        </is>
      </c>
    </row>
    <row r="4" ht="34" customHeight="1">
      <c r="A4" s="9">
        <f>'Calculations'!B24</f>
        <v/>
      </c>
      <c r="B4" s="4" t="n"/>
      <c r="C4" s="10">
        <f>'Calculations'!B34</f>
        <v/>
      </c>
      <c r="D4" s="9">
        <f>'Calculations'!B56</f>
        <v/>
      </c>
      <c r="E4" s="4" t="n"/>
      <c r="F4" s="11">
        <f>'Calculations'!B60</f>
        <v/>
      </c>
      <c r="G4" s="12">
        <f>'Calculations'!C24</f>
        <v/>
      </c>
      <c r="H4" s="6" t="n"/>
      <c r="I4" s="13">
        <f>'Calculations'!C34</f>
        <v/>
      </c>
      <c r="J4" s="12">
        <f>'Calculations'!C56</f>
        <v/>
      </c>
      <c r="K4" s="6" t="n"/>
      <c r="L4" s="14">
        <f>'Calculations'!C60</f>
        <v/>
      </c>
    </row>
    <row r="5" ht="21" customHeight="1">
      <c r="A5" s="15" t="inlineStr">
        <is>
          <t>12-MONTH OPERATING RESERVE</t>
        </is>
      </c>
      <c r="B5" s="4" t="n"/>
      <c r="C5" s="4" t="n"/>
      <c r="D5" s="4" t="n"/>
      <c r="E5" s="4" t="n"/>
      <c r="F5" s="4" t="n"/>
      <c r="G5" s="16" t="inlineStr">
        <is>
          <t>12-MONTH OPERATING RESERVE</t>
        </is>
      </c>
      <c r="H5" s="6" t="n"/>
      <c r="I5" s="6" t="n"/>
      <c r="J5" s="6" t="n"/>
      <c r="K5" s="6" t="n"/>
      <c r="L5" s="6" t="n"/>
    </row>
    <row r="6" ht="35" customHeight="1">
      <c r="A6" s="17">
        <f>'Calculations'!B61</f>
        <v/>
      </c>
      <c r="B6" s="4" t="n"/>
      <c r="C6" s="4" t="n"/>
      <c r="D6" s="4" t="n"/>
      <c r="E6" s="4" t="n"/>
      <c r="F6" s="4" t="n"/>
      <c r="G6" s="18">
        <f>'Calculations'!C61</f>
        <v/>
      </c>
      <c r="H6" s="6" t="n"/>
      <c r="I6" s="6" t="n"/>
      <c r="J6" s="6" t="n"/>
      <c r="K6" s="6" t="n"/>
      <c r="L6" s="6" t="n"/>
    </row>
    <row r="7" ht="22" customHeight="1">
      <c r="A7" s="19">
        <f>IF('Calculations'!B60&gt;0.005,"Operating surplus · reserve grows",IF('Calculations'!B60&lt;-0.005,"Operating deficit · reserve declines","Break-even · reserve is unchanged"))</f>
        <v/>
      </c>
      <c r="B7" s="4" t="n"/>
      <c r="C7" s="4" t="n"/>
      <c r="D7" s="4" t="n"/>
      <c r="E7" s="4" t="n"/>
      <c r="F7" s="4" t="n"/>
      <c r="G7" s="20">
        <f>IF('Calculations'!C60&gt;0.005,"Operating surplus · reserve grows",IF('Calculations'!C60&lt;-0.005,"Operating deficit · reserve declines","Break-even · reserve is unchanged"))</f>
        <v/>
      </c>
      <c r="H7" s="6" t="n"/>
      <c r="I7" s="6" t="n"/>
      <c r="J7" s="6" t="n"/>
      <c r="K7" s="6" t="n"/>
      <c r="L7" s="6" t="n"/>
    </row>
    <row r="8" ht="24" customHeight="1">
      <c r="A8" s="21" t="inlineStr">
        <is>
          <t>CLIENT REVIEW · read-only comparison</t>
        </is>
      </c>
      <c r="B8" s="22" t="n"/>
      <c r="C8" s="22" t="n"/>
      <c r="D8" s="22" t="n"/>
      <c r="E8" s="22" t="n"/>
      <c r="F8" s="22" t="n"/>
      <c r="G8" s="22" t="n"/>
      <c r="H8" s="22" t="n"/>
      <c r="I8" s="22" t="n"/>
      <c r="J8" s="22" t="n"/>
      <c r="K8" s="22" t="n"/>
      <c r="L8" s="22" t="n"/>
    </row>
    <row r="10" ht="24" customHeight="1">
      <c r="A10" s="31" t="inlineStr">
        <is>
          <t>Monthly comparison</t>
        </is>
      </c>
    </row>
    <row r="11" ht="27" customHeight="1">
      <c r="A11" s="3" t="inlineStr">
        <is>
          <t>Measure</t>
        </is>
      </c>
      <c r="B11" s="4" t="n"/>
      <c r="C11" s="4" t="n"/>
      <c r="D11" s="3" t="inlineStr">
        <is>
          <t>Current Plan</t>
        </is>
      </c>
      <c r="E11" s="4" t="n"/>
      <c r="F11" s="4" t="n"/>
      <c r="G11" s="5" t="inlineStr">
        <is>
          <t>Proposed Plan</t>
        </is>
      </c>
      <c r="H11" s="6" t="n"/>
      <c r="I11" s="6" t="n"/>
      <c r="J11" s="5" t="inlineStr">
        <is>
          <t>Change</t>
        </is>
      </c>
      <c r="K11" s="6" t="n"/>
      <c r="L11" s="6" t="n"/>
    </row>
    <row r="12" ht="32" customHeight="1">
      <c r="A12" s="71" t="inlineStr">
        <is>
          <t>Funding</t>
        </is>
      </c>
      <c r="B12" s="4" t="n"/>
      <c r="C12" s="4" t="n"/>
      <c r="D12" s="72">
        <f>'Calculations'!B24</f>
        <v/>
      </c>
      <c r="E12" s="4" t="n"/>
      <c r="F12" s="4" t="n"/>
      <c r="G12" s="73">
        <f>'Calculations'!C24</f>
        <v/>
      </c>
      <c r="H12" s="6" t="n"/>
      <c r="I12" s="6" t="n"/>
      <c r="J12" s="73">
        <f>IF(A12="","",G12-D12)</f>
        <v/>
      </c>
      <c r="K12" s="6" t="n"/>
      <c r="L12" s="6" t="n"/>
    </row>
    <row r="13" ht="32" customHeight="1">
      <c r="A13" s="71" t="inlineStr">
        <is>
          <t>Care hours</t>
        </is>
      </c>
      <c r="B13" s="4" t="n"/>
      <c r="C13" s="4" t="n"/>
      <c r="D13" s="74">
        <f>'Calculations'!B34</f>
        <v/>
      </c>
      <c r="E13" s="4" t="n"/>
      <c r="F13" s="4" t="n"/>
      <c r="G13" s="75">
        <f>'Calculations'!C34</f>
        <v/>
      </c>
      <c r="H13" s="6" t="n"/>
      <c r="I13" s="6" t="n"/>
      <c r="J13" s="75">
        <f>IF(A13="","",G13-D13)</f>
        <v/>
      </c>
      <c r="K13" s="6" t="n"/>
      <c r="L13" s="6" t="n"/>
    </row>
    <row r="14" ht="32" customHeight="1">
      <c r="A14" s="71" t="inlineStr">
        <is>
          <t>Total cost</t>
        </is>
      </c>
      <c r="B14" s="4" t="n"/>
      <c r="C14" s="4" t="n"/>
      <c r="D14" s="72">
        <f>'Calculations'!B56</f>
        <v/>
      </c>
      <c r="E14" s="4" t="n"/>
      <c r="F14" s="4" t="n"/>
      <c r="G14" s="73">
        <f>'Calculations'!C56</f>
        <v/>
      </c>
      <c r="H14" s="6" t="n"/>
      <c r="I14" s="6" t="n"/>
      <c r="J14" s="73">
        <f>IF(A14="","",G14-D14)</f>
        <v/>
      </c>
      <c r="K14" s="6" t="n"/>
      <c r="L14" s="6" t="n"/>
    </row>
    <row r="15" ht="32" customHeight="1">
      <c r="A15" s="71" t="inlineStr">
        <is>
          <t>Operating balance</t>
        </is>
      </c>
      <c r="B15" s="4" t="n"/>
      <c r="C15" s="4" t="n"/>
      <c r="D15" s="72">
        <f>'Calculations'!B60</f>
        <v/>
      </c>
      <c r="E15" s="4" t="n"/>
      <c r="F15" s="4" t="n"/>
      <c r="G15" s="73">
        <f>'Calculations'!C60</f>
        <v/>
      </c>
      <c r="H15" s="6" t="n"/>
      <c r="I15" s="6" t="n"/>
      <c r="J15" s="73">
        <f>IF(A15="","",G15-D15)</f>
        <v/>
      </c>
      <c r="K15" s="6" t="n"/>
      <c r="L15" s="6" t="n"/>
    </row>
    <row r="16" ht="34" customHeight="1">
      <c r="A16" s="76" t="inlineStr">
        <is>
          <t>Operating balance is the recurring monthly flow. Operating reserve is the accumulated balance. Care hours may be above funded hours; that is a warning, not an automatic budget failure.</t>
        </is>
      </c>
    </row>
    <row r="17" ht="24" customHeight="1">
      <c r="A17" s="31" t="inlineStr">
        <is>
          <t>Annual implications</t>
        </is>
      </c>
    </row>
    <row r="18" ht="27" customHeight="1">
      <c r="A18" s="3" t="inlineStr">
        <is>
          <t>Measure</t>
        </is>
      </c>
      <c r="B18" s="4" t="n"/>
      <c r="C18" s="4" t="n"/>
      <c r="D18" s="3" t="inlineStr">
        <is>
          <t>Current Plan</t>
        </is>
      </c>
      <c r="E18" s="4" t="n"/>
      <c r="F18" s="4" t="n"/>
      <c r="G18" s="5" t="inlineStr">
        <is>
          <t>Proposed Plan</t>
        </is>
      </c>
      <c r="H18" s="6" t="n"/>
      <c r="I18" s="6" t="n"/>
      <c r="J18" s="5" t="inlineStr">
        <is>
          <t>Change</t>
        </is>
      </c>
      <c r="K18" s="6" t="n"/>
      <c r="L18" s="6" t="n"/>
    </row>
    <row r="19" ht="32" customHeight="1">
      <c r="A19" s="71" t="inlineStr">
        <is>
          <t>Funding</t>
        </is>
      </c>
      <c r="B19" s="4" t="n"/>
      <c r="C19" s="4" t="n"/>
      <c r="D19" s="72">
        <f>'Calculations'!B24*12</f>
        <v/>
      </c>
      <c r="E19" s="4" t="n"/>
      <c r="F19" s="4" t="n"/>
      <c r="G19" s="73">
        <f>'Calculations'!C24*12</f>
        <v/>
      </c>
      <c r="H19" s="6" t="n"/>
      <c r="I19" s="6" t="n"/>
      <c r="J19" s="73">
        <f>IF(A19="","",G19-D19)</f>
        <v/>
      </c>
      <c r="K19" s="6" t="n"/>
      <c r="L19" s="6" t="n"/>
    </row>
    <row r="20" ht="32" customHeight="1">
      <c r="A20" s="71" t="inlineStr">
        <is>
          <t>Care hours</t>
        </is>
      </c>
      <c r="B20" s="4" t="n"/>
      <c r="C20" s="4" t="n"/>
      <c r="D20" s="74">
        <f>'Calculations'!B33*'Calculations'!B6</f>
        <v/>
      </c>
      <c r="E20" s="4" t="n"/>
      <c r="F20" s="4" t="n"/>
      <c r="G20" s="75">
        <f>'Calculations'!C33*'Calculations'!B6</f>
        <v/>
      </c>
      <c r="H20" s="6" t="n"/>
      <c r="I20" s="6" t="n"/>
      <c r="J20" s="75">
        <f>IF(A20="","",G20-D20)</f>
        <v/>
      </c>
      <c r="K20" s="6" t="n"/>
      <c r="L20" s="6" t="n"/>
    </row>
    <row r="21" ht="32" customHeight="1">
      <c r="A21" s="71" t="inlineStr">
        <is>
          <t>Total cost</t>
        </is>
      </c>
      <c r="B21" s="4" t="n"/>
      <c r="C21" s="4" t="n"/>
      <c r="D21" s="72">
        <f>'Calculations'!B56*12</f>
        <v/>
      </c>
      <c r="E21" s="4" t="n"/>
      <c r="F21" s="4" t="n"/>
      <c r="G21" s="73">
        <f>'Calculations'!C56*12</f>
        <v/>
      </c>
      <c r="H21" s="6" t="n"/>
      <c r="I21" s="6" t="n"/>
      <c r="J21" s="73">
        <f>IF(A21="","",G21-D21)</f>
        <v/>
      </c>
      <c r="K21" s="6" t="n"/>
      <c r="L21" s="6" t="n"/>
    </row>
    <row r="22" ht="32" customHeight="1">
      <c r="A22" s="71" t="inlineStr">
        <is>
          <t>Operating balance</t>
        </is>
      </c>
      <c r="B22" s="4" t="n"/>
      <c r="C22" s="4" t="n"/>
      <c r="D22" s="72">
        <f>'Calculations'!B60*12</f>
        <v/>
      </c>
      <c r="E22" s="4" t="n"/>
      <c r="F22" s="4" t="n"/>
      <c r="G22" s="73">
        <f>'Calculations'!C60*12</f>
        <v/>
      </c>
      <c r="H22" s="6" t="n"/>
      <c r="I22" s="6" t="n"/>
      <c r="J22" s="73">
        <f>IF(A22="","",G22-D22)</f>
        <v/>
      </c>
      <c r="K22" s="6" t="n"/>
      <c r="L22" s="6" t="n"/>
    </row>
    <row r="23" ht="34" customHeight="1">
      <c r="A23" s="76" t="inlineStr">
        <is>
          <t>Annual figures use full-precision monthly or weekly rollups. The 12-month reserve projection is a constant-assumption estimate, not a transaction cash-flow forecast.</t>
        </is>
      </c>
    </row>
    <row r="24" ht="24" customHeight="1">
      <c r="A24" s="31" t="inlineStr">
        <is>
          <t>Annualized recurring base pay by worker</t>
        </is>
      </c>
    </row>
    <row r="25" ht="27" customHeight="1">
      <c r="A25" s="3" t="inlineStr">
        <is>
          <t>Worker</t>
        </is>
      </c>
      <c r="B25" s="4" t="n"/>
      <c r="C25" s="4" t="n"/>
      <c r="D25" s="3" t="inlineStr">
        <is>
          <t>Current Plan</t>
        </is>
      </c>
      <c r="E25" s="4" t="n"/>
      <c r="F25" s="4" t="n"/>
      <c r="G25" s="5" t="inlineStr">
        <is>
          <t>Proposed Plan</t>
        </is>
      </c>
      <c r="H25" s="6" t="n"/>
      <c r="I25" s="6" t="n"/>
      <c r="J25" s="5" t="inlineStr">
        <is>
          <t>Change</t>
        </is>
      </c>
      <c r="K25" s="6" t="n"/>
      <c r="L25" s="6" t="n"/>
    </row>
    <row r="26" ht="24" customHeight="1">
      <c r="A26" s="71">
        <f>IF('Calculations'!F70="","",'Calculations'!B70)</f>
        <v/>
      </c>
      <c r="B26" s="4" t="n"/>
      <c r="C26" s="4" t="n"/>
      <c r="D26" s="72">
        <f>IF(A26="","",SUMIF('Calculations'!$E$70:$E$84,'Calculations'!E70,'Calculations'!$G$70:$G$84)*'Calculations'!$B$6)</f>
        <v/>
      </c>
      <c r="E26" s="4" t="n"/>
      <c r="F26" s="4" t="n"/>
      <c r="G26" s="73">
        <f>IF(A26="","",SUMIF('Calculations'!$E$70:$E$84,'Calculations'!E70,'Calculations'!$H$70:$H$84)*'Calculations'!$B$6)</f>
        <v/>
      </c>
      <c r="H26" s="6" t="n"/>
      <c r="I26" s="6" t="n"/>
      <c r="J26" s="73">
        <f>IF(A26="","",G26-D26)</f>
        <v/>
      </c>
      <c r="K26" s="6" t="n"/>
      <c r="L26" s="6" t="n"/>
    </row>
    <row r="27" ht="24" customHeight="1">
      <c r="A27" s="71">
        <f>IF('Calculations'!F71="","",'Calculations'!B71)</f>
        <v/>
      </c>
      <c r="B27" s="4" t="n"/>
      <c r="C27" s="4" t="n"/>
      <c r="D27" s="72">
        <f>IF(A27="","",SUMIF('Calculations'!$E$70:$E$84,'Calculations'!E71,'Calculations'!$G$70:$G$84)*'Calculations'!$B$6)</f>
        <v/>
      </c>
      <c r="E27" s="4" t="n"/>
      <c r="F27" s="4" t="n"/>
      <c r="G27" s="73">
        <f>IF(A27="","",SUMIF('Calculations'!$E$70:$E$84,'Calculations'!E71,'Calculations'!$H$70:$H$84)*'Calculations'!$B$6)</f>
        <v/>
      </c>
      <c r="H27" s="6" t="n"/>
      <c r="I27" s="6" t="n"/>
      <c r="J27" s="73">
        <f>IF(A27="","",G27-D27)</f>
        <v/>
      </c>
      <c r="K27" s="6" t="n"/>
      <c r="L27" s="6" t="n"/>
    </row>
    <row r="28" ht="24" customHeight="1">
      <c r="A28" s="71">
        <f>IF('Calculations'!F72="","",'Calculations'!B72)</f>
        <v/>
      </c>
      <c r="B28" s="4" t="n"/>
      <c r="C28" s="4" t="n"/>
      <c r="D28" s="72">
        <f>IF(A28="","",SUMIF('Calculations'!$E$70:$E$84,'Calculations'!E72,'Calculations'!$G$70:$G$84)*'Calculations'!$B$6)</f>
        <v/>
      </c>
      <c r="E28" s="4" t="n"/>
      <c r="F28" s="4" t="n"/>
      <c r="G28" s="73">
        <f>IF(A28="","",SUMIF('Calculations'!$E$70:$E$84,'Calculations'!E72,'Calculations'!$H$70:$H$84)*'Calculations'!$B$6)</f>
        <v/>
      </c>
      <c r="H28" s="6" t="n"/>
      <c r="I28" s="6" t="n"/>
      <c r="J28" s="73">
        <f>IF(A28="","",G28-D28)</f>
        <v/>
      </c>
      <c r="K28" s="6" t="n"/>
      <c r="L28" s="6" t="n"/>
    </row>
    <row r="29" ht="24" customHeight="1">
      <c r="A29" s="71">
        <f>IF('Calculations'!F73="","",'Calculations'!B73)</f>
        <v/>
      </c>
      <c r="B29" s="4" t="n"/>
      <c r="C29" s="4" t="n"/>
      <c r="D29" s="72">
        <f>IF(A29="","",SUMIF('Calculations'!$E$70:$E$84,'Calculations'!E73,'Calculations'!$G$70:$G$84)*'Calculations'!$B$6)</f>
        <v/>
      </c>
      <c r="E29" s="4" t="n"/>
      <c r="F29" s="4" t="n"/>
      <c r="G29" s="73">
        <f>IF(A29="","",SUMIF('Calculations'!$E$70:$E$84,'Calculations'!E73,'Calculations'!$H$70:$H$84)*'Calculations'!$B$6)</f>
        <v/>
      </c>
      <c r="H29" s="6" t="n"/>
      <c r="I29" s="6" t="n"/>
      <c r="J29" s="73">
        <f>IF(A29="","",G29-D29)</f>
        <v/>
      </c>
      <c r="K29" s="6" t="n"/>
      <c r="L29" s="6" t="n"/>
    </row>
    <row r="30" ht="24" customHeight="1">
      <c r="A30" s="71">
        <f>IF('Calculations'!F74="","",'Calculations'!B74)</f>
        <v/>
      </c>
      <c r="B30" s="4" t="n"/>
      <c r="C30" s="4" t="n"/>
      <c r="D30" s="72">
        <f>IF(A30="","",SUMIF('Calculations'!$E$70:$E$84,'Calculations'!E74,'Calculations'!$G$70:$G$84)*'Calculations'!$B$6)</f>
        <v/>
      </c>
      <c r="E30" s="4" t="n"/>
      <c r="F30" s="4" t="n"/>
      <c r="G30" s="73">
        <f>IF(A30="","",SUMIF('Calculations'!$E$70:$E$84,'Calculations'!E74,'Calculations'!$H$70:$H$84)*'Calculations'!$B$6)</f>
        <v/>
      </c>
      <c r="H30" s="6" t="n"/>
      <c r="I30" s="6" t="n"/>
      <c r="J30" s="73">
        <f>IF(A30="","",G30-D30)</f>
        <v/>
      </c>
      <c r="K30" s="6" t="n"/>
      <c r="L30" s="6" t="n"/>
    </row>
    <row r="31" ht="24" customHeight="1">
      <c r="A31" s="71">
        <f>IF('Calculations'!F75="","",'Calculations'!B75)</f>
        <v/>
      </c>
      <c r="B31" s="4" t="n"/>
      <c r="C31" s="4" t="n"/>
      <c r="D31" s="72">
        <f>IF(A31="","",SUMIF('Calculations'!$E$70:$E$84,'Calculations'!E75,'Calculations'!$G$70:$G$84)*'Calculations'!$B$6)</f>
        <v/>
      </c>
      <c r="E31" s="4" t="n"/>
      <c r="F31" s="4" t="n"/>
      <c r="G31" s="73">
        <f>IF(A31="","",SUMIF('Calculations'!$E$70:$E$84,'Calculations'!E75,'Calculations'!$H$70:$H$84)*'Calculations'!$B$6)</f>
        <v/>
      </c>
      <c r="H31" s="6" t="n"/>
      <c r="I31" s="6" t="n"/>
      <c r="J31" s="73">
        <f>IF(A31="","",G31-D31)</f>
        <v/>
      </c>
      <c r="K31" s="6" t="n"/>
      <c r="L31" s="6" t="n"/>
    </row>
    <row r="32" ht="24" customHeight="1">
      <c r="A32" s="71">
        <f>IF('Calculations'!F76="","",'Calculations'!B76)</f>
        <v/>
      </c>
      <c r="B32" s="4" t="n"/>
      <c r="C32" s="4" t="n"/>
      <c r="D32" s="72">
        <f>IF(A32="","",SUMIF('Calculations'!$E$70:$E$84,'Calculations'!E76,'Calculations'!$G$70:$G$84)*'Calculations'!$B$6)</f>
        <v/>
      </c>
      <c r="E32" s="4" t="n"/>
      <c r="F32" s="4" t="n"/>
      <c r="G32" s="73">
        <f>IF(A32="","",SUMIF('Calculations'!$E$70:$E$84,'Calculations'!E76,'Calculations'!$H$70:$H$84)*'Calculations'!$B$6)</f>
        <v/>
      </c>
      <c r="H32" s="6" t="n"/>
      <c r="I32" s="6" t="n"/>
      <c r="J32" s="73">
        <f>IF(A32="","",G32-D32)</f>
        <v/>
      </c>
      <c r="K32" s="6" t="n"/>
      <c r="L32" s="6" t="n"/>
    </row>
    <row r="33" ht="24" customHeight="1">
      <c r="A33" s="71">
        <f>IF('Calculations'!F77="","",'Calculations'!B77)</f>
        <v/>
      </c>
      <c r="B33" s="4" t="n"/>
      <c r="C33" s="4" t="n"/>
      <c r="D33" s="72">
        <f>IF(A33="","",SUMIF('Calculations'!$E$70:$E$84,'Calculations'!E77,'Calculations'!$G$70:$G$84)*'Calculations'!$B$6)</f>
        <v/>
      </c>
      <c r="E33" s="4" t="n"/>
      <c r="F33" s="4" t="n"/>
      <c r="G33" s="73">
        <f>IF(A33="","",SUMIF('Calculations'!$E$70:$E$84,'Calculations'!E77,'Calculations'!$H$70:$H$84)*'Calculations'!$B$6)</f>
        <v/>
      </c>
      <c r="H33" s="6" t="n"/>
      <c r="I33" s="6" t="n"/>
      <c r="J33" s="73">
        <f>IF(A33="","",G33-D33)</f>
        <v/>
      </c>
      <c r="K33" s="6" t="n"/>
      <c r="L33" s="6" t="n"/>
    </row>
    <row r="34" ht="24" customHeight="1">
      <c r="A34" s="71">
        <f>IF('Calculations'!F78="","",'Calculations'!B78)</f>
        <v/>
      </c>
      <c r="B34" s="4" t="n"/>
      <c r="C34" s="4" t="n"/>
      <c r="D34" s="72">
        <f>IF(A34="","",SUMIF('Calculations'!$E$70:$E$84,'Calculations'!E78,'Calculations'!$G$70:$G$84)*'Calculations'!$B$6)</f>
        <v/>
      </c>
      <c r="E34" s="4" t="n"/>
      <c r="F34" s="4" t="n"/>
      <c r="G34" s="73">
        <f>IF(A34="","",SUMIF('Calculations'!$E$70:$E$84,'Calculations'!E78,'Calculations'!$H$70:$H$84)*'Calculations'!$B$6)</f>
        <v/>
      </c>
      <c r="H34" s="6" t="n"/>
      <c r="I34" s="6" t="n"/>
      <c r="J34" s="73">
        <f>IF(A34="","",G34-D34)</f>
        <v/>
      </c>
      <c r="K34" s="6" t="n"/>
      <c r="L34" s="6" t="n"/>
    </row>
    <row r="35" ht="24" customHeight="1">
      <c r="A35" s="71">
        <f>IF('Calculations'!F79="","",'Calculations'!B79)</f>
        <v/>
      </c>
      <c r="B35" s="4" t="n"/>
      <c r="C35" s="4" t="n"/>
      <c r="D35" s="72">
        <f>IF(A35="","",SUMIF('Calculations'!$E$70:$E$84,'Calculations'!E79,'Calculations'!$G$70:$G$84)*'Calculations'!$B$6)</f>
        <v/>
      </c>
      <c r="E35" s="4" t="n"/>
      <c r="F35" s="4" t="n"/>
      <c r="G35" s="73">
        <f>IF(A35="","",SUMIF('Calculations'!$E$70:$E$84,'Calculations'!E79,'Calculations'!$H$70:$H$84)*'Calculations'!$B$6)</f>
        <v/>
      </c>
      <c r="H35" s="6" t="n"/>
      <c r="I35" s="6" t="n"/>
      <c r="J35" s="73">
        <f>IF(A35="","",G35-D35)</f>
        <v/>
      </c>
      <c r="K35" s="6" t="n"/>
      <c r="L35" s="6" t="n"/>
    </row>
    <row r="36" ht="24" customHeight="1">
      <c r="A36" s="71">
        <f>IF('Calculations'!F80="","",'Calculations'!B80)</f>
        <v/>
      </c>
      <c r="B36" s="4" t="n"/>
      <c r="C36" s="4" t="n"/>
      <c r="D36" s="72">
        <f>IF(A36="","",SUMIF('Calculations'!$E$70:$E$84,'Calculations'!E80,'Calculations'!$G$70:$G$84)*'Calculations'!$B$6)</f>
        <v/>
      </c>
      <c r="E36" s="4" t="n"/>
      <c r="F36" s="4" t="n"/>
      <c r="G36" s="73">
        <f>IF(A36="","",SUMIF('Calculations'!$E$70:$E$84,'Calculations'!E80,'Calculations'!$H$70:$H$84)*'Calculations'!$B$6)</f>
        <v/>
      </c>
      <c r="H36" s="6" t="n"/>
      <c r="I36" s="6" t="n"/>
      <c r="J36" s="73">
        <f>IF(A36="","",G36-D36)</f>
        <v/>
      </c>
      <c r="K36" s="6" t="n"/>
      <c r="L36" s="6" t="n"/>
    </row>
    <row r="37" ht="24" customHeight="1">
      <c r="A37" s="71">
        <f>IF('Calculations'!F81="","",'Calculations'!B81)</f>
        <v/>
      </c>
      <c r="B37" s="4" t="n"/>
      <c r="C37" s="4" t="n"/>
      <c r="D37" s="72">
        <f>IF(A37="","",SUMIF('Calculations'!$E$70:$E$84,'Calculations'!E81,'Calculations'!$G$70:$G$84)*'Calculations'!$B$6)</f>
        <v/>
      </c>
      <c r="E37" s="4" t="n"/>
      <c r="F37" s="4" t="n"/>
      <c r="G37" s="73">
        <f>IF(A37="","",SUMIF('Calculations'!$E$70:$E$84,'Calculations'!E81,'Calculations'!$H$70:$H$84)*'Calculations'!$B$6)</f>
        <v/>
      </c>
      <c r="H37" s="6" t="n"/>
      <c r="I37" s="6" t="n"/>
      <c r="J37" s="73">
        <f>IF(A37="","",G37-D37)</f>
        <v/>
      </c>
      <c r="K37" s="6" t="n"/>
      <c r="L37" s="6" t="n"/>
    </row>
    <row r="38" ht="24" customHeight="1">
      <c r="A38" s="71">
        <f>IF('Calculations'!F82="","",'Calculations'!B82)</f>
        <v/>
      </c>
      <c r="B38" s="4" t="n"/>
      <c r="C38" s="4" t="n"/>
      <c r="D38" s="72">
        <f>IF(A38="","",SUMIF('Calculations'!$E$70:$E$84,'Calculations'!E82,'Calculations'!$G$70:$G$84)*'Calculations'!$B$6)</f>
        <v/>
      </c>
      <c r="E38" s="4" t="n"/>
      <c r="F38" s="4" t="n"/>
      <c r="G38" s="73">
        <f>IF(A38="","",SUMIF('Calculations'!$E$70:$E$84,'Calculations'!E82,'Calculations'!$H$70:$H$84)*'Calculations'!$B$6)</f>
        <v/>
      </c>
      <c r="H38" s="6" t="n"/>
      <c r="I38" s="6" t="n"/>
      <c r="J38" s="73">
        <f>IF(A38="","",G38-D38)</f>
        <v/>
      </c>
      <c r="K38" s="6" t="n"/>
      <c r="L38" s="6" t="n"/>
    </row>
    <row r="39" ht="24" customHeight="1">
      <c r="A39" s="71">
        <f>IF('Calculations'!F83="","",'Calculations'!B83)</f>
        <v/>
      </c>
      <c r="B39" s="4" t="n"/>
      <c r="C39" s="4" t="n"/>
      <c r="D39" s="72">
        <f>IF(A39="","",SUMIF('Calculations'!$E$70:$E$84,'Calculations'!E83,'Calculations'!$G$70:$G$84)*'Calculations'!$B$6)</f>
        <v/>
      </c>
      <c r="E39" s="4" t="n"/>
      <c r="F39" s="4" t="n"/>
      <c r="G39" s="73">
        <f>IF(A39="","",SUMIF('Calculations'!$E$70:$E$84,'Calculations'!E83,'Calculations'!$H$70:$H$84)*'Calculations'!$B$6)</f>
        <v/>
      </c>
      <c r="H39" s="6" t="n"/>
      <c r="I39" s="6" t="n"/>
      <c r="J39" s="73">
        <f>IF(A39="","",G39-D39)</f>
        <v/>
      </c>
      <c r="K39" s="6" t="n"/>
      <c r="L39" s="6" t="n"/>
    </row>
    <row r="40" ht="24" customHeight="1">
      <c r="A40" s="71">
        <f>IF('Calculations'!F84="","",'Calculations'!B84)</f>
        <v/>
      </c>
      <c r="B40" s="4" t="n"/>
      <c r="C40" s="4" t="n"/>
      <c r="D40" s="72">
        <f>IF(A40="","",SUMIF('Calculations'!$E$70:$E$84,'Calculations'!E84,'Calculations'!$G$70:$G$84)*'Calculations'!$B$6)</f>
        <v/>
      </c>
      <c r="E40" s="4" t="n"/>
      <c r="F40" s="4" t="n"/>
      <c r="G40" s="73">
        <f>IF(A40="","",SUMIF('Calculations'!$E$70:$E$84,'Calculations'!E84,'Calculations'!$H$70:$H$84)*'Calculations'!$B$6)</f>
        <v/>
      </c>
      <c r="H40" s="6" t="n"/>
      <c r="I40" s="6" t="n"/>
      <c r="J40" s="73">
        <f>IF(A40="","",G40-D40)</f>
        <v/>
      </c>
      <c r="K40" s="6" t="n"/>
      <c r="L40" s="6" t="n"/>
    </row>
    <row r="41" ht="24" customHeight="1">
      <c r="A41" s="76">
        <f>"Client "&amp;'Funding'!C29&amp;" · period "&amp;'Funding'!C30&amp;CHAR(10)&amp;"Proposal "&amp;IF('Funding'!I29="","(unnamed)",'Funding'!I29)&amp;CHAR(10)&amp;"Opening reserve "&amp;TEXT('Funding'!C19,"$#,##0.00")&amp;CHAR(10)&amp;"Desired monthly reserve growth "&amp;TEXT('Funding'!C22,"$#,##0.00")</f>
        <v/>
      </c>
    </row>
    <row r="42" ht="24" customHeight="1"/>
    <row r="43" ht="42" customHeight="1">
      <c r="A43" s="37" t="inlineStr">
        <is>
          <t>Proposed blanks inherit Current Plan. Explicit zero remains zero. Shared reserve settings and payroll parameters apply to both plans. Client Review is read-only; make changes on Funding, Care Team, or Expenses.</t>
        </is>
      </c>
    </row>
    <row r="44">
      <c r="A44" s="77" t="inlineStr">
        <is>
          <t>Displayed values are rounded; formulas retain full precision.</t>
        </is>
      </c>
    </row>
  </sheetData>
  <sheetProtection selectLockedCells="0" selectUnlockedCells="0" sheet="1" objects="0" insertRows="1" insertHyperlinks="1" autoFilter="0" scenarios="0" formatColumns="1" deleteColumns="1" insertColumns="1" pivotTables="1" deleteRows="1" formatCells="1" formatRows="1" sort="0"/>
  <mergeCells count="130">
    <mergeCell ref="G38:I38"/>
    <mergeCell ref="D11:F11"/>
    <mergeCell ref="G13:I13"/>
    <mergeCell ref="A37:C37"/>
    <mergeCell ref="G6:L6"/>
    <mergeCell ref="J27:L27"/>
    <mergeCell ref="J35:L35"/>
    <mergeCell ref="A21:C21"/>
    <mergeCell ref="A26:C26"/>
    <mergeCell ref="G15:I15"/>
    <mergeCell ref="J11:L11"/>
    <mergeCell ref="J25:L25"/>
    <mergeCell ref="D28:F28"/>
    <mergeCell ref="G5:L5"/>
    <mergeCell ref="D37:F37"/>
    <mergeCell ref="A5:F5"/>
    <mergeCell ref="A23:L23"/>
    <mergeCell ref="D12:F12"/>
    <mergeCell ref="G26:I26"/>
    <mergeCell ref="D30:F30"/>
    <mergeCell ref="D39:F39"/>
    <mergeCell ref="J4:K4"/>
    <mergeCell ref="D14:F14"/>
    <mergeCell ref="D29:F29"/>
    <mergeCell ref="J39:L39"/>
    <mergeCell ref="D4:E4"/>
    <mergeCell ref="A34:C34"/>
    <mergeCell ref="J29:L29"/>
    <mergeCell ref="J38:L38"/>
    <mergeCell ref="G36:I36"/>
    <mergeCell ref="J13:L13"/>
    <mergeCell ref="J40:L40"/>
    <mergeCell ref="A7:F7"/>
    <mergeCell ref="J15:L15"/>
    <mergeCell ref="D27:F27"/>
    <mergeCell ref="G28:I28"/>
    <mergeCell ref="G37:I37"/>
    <mergeCell ref="J26:L26"/>
    <mergeCell ref="A12:C12"/>
    <mergeCell ref="G30:I30"/>
    <mergeCell ref="A2:F2"/>
    <mergeCell ref="G14:I14"/>
    <mergeCell ref="A32:C32"/>
    <mergeCell ref="A14:C14"/>
    <mergeCell ref="A29:C29"/>
    <mergeCell ref="D25:F25"/>
    <mergeCell ref="A38:C38"/>
    <mergeCell ref="A13:C13"/>
    <mergeCell ref="G32:I32"/>
    <mergeCell ref="J33:L33"/>
    <mergeCell ref="A43:L43"/>
    <mergeCell ref="A31:C31"/>
    <mergeCell ref="A40:C40"/>
    <mergeCell ref="A15:C15"/>
    <mergeCell ref="A24:L24"/>
    <mergeCell ref="J3:K3"/>
    <mergeCell ref="J14:L14"/>
    <mergeCell ref="G27:I27"/>
    <mergeCell ref="J28:L28"/>
    <mergeCell ref="D31:F31"/>
    <mergeCell ref="J37:L37"/>
    <mergeCell ref="D40:F40"/>
    <mergeCell ref="D21:F21"/>
    <mergeCell ref="J30:L30"/>
    <mergeCell ref="G7:L7"/>
    <mergeCell ref="A25:C25"/>
    <mergeCell ref="A16:L16"/>
    <mergeCell ref="G19:I19"/>
    <mergeCell ref="D32:F32"/>
    <mergeCell ref="A18:C18"/>
    <mergeCell ref="G34:I34"/>
    <mergeCell ref="J32:L32"/>
    <mergeCell ref="A22:C22"/>
    <mergeCell ref="D18:F18"/>
    <mergeCell ref="G20:I20"/>
    <mergeCell ref="G29:I29"/>
    <mergeCell ref="A3:B3"/>
    <mergeCell ref="A20:C20"/>
    <mergeCell ref="D33:F33"/>
    <mergeCell ref="A28:C28"/>
    <mergeCell ref="G22:I22"/>
    <mergeCell ref="J18:L18"/>
    <mergeCell ref="G31:I31"/>
    <mergeCell ref="D35:F35"/>
    <mergeCell ref="G40:I40"/>
    <mergeCell ref="A44:L44"/>
    <mergeCell ref="A30:C30"/>
    <mergeCell ref="G12:I12"/>
    <mergeCell ref="D3:E3"/>
    <mergeCell ref="D20:F20"/>
    <mergeCell ref="G21:I21"/>
    <mergeCell ref="D34:F34"/>
    <mergeCell ref="A4:B4"/>
    <mergeCell ref="J19:L19"/>
    <mergeCell ref="D22:F22"/>
    <mergeCell ref="D36:F36"/>
    <mergeCell ref="J34:L34"/>
    <mergeCell ref="D13:F13"/>
    <mergeCell ref="J36:L36"/>
    <mergeCell ref="G18:I18"/>
    <mergeCell ref="A27:C27"/>
    <mergeCell ref="J20:L20"/>
    <mergeCell ref="G33:I33"/>
    <mergeCell ref="A33:C33"/>
    <mergeCell ref="J22:L22"/>
    <mergeCell ref="J31:L31"/>
    <mergeCell ref="A8:L8"/>
    <mergeCell ref="G35:I35"/>
    <mergeCell ref="A17:L17"/>
    <mergeCell ref="J12:L12"/>
    <mergeCell ref="A35:C35"/>
    <mergeCell ref="D15:F15"/>
    <mergeCell ref="G3:H3"/>
    <mergeCell ref="J21:L21"/>
    <mergeCell ref="G25:I25"/>
    <mergeCell ref="D38:F38"/>
    <mergeCell ref="A19:C19"/>
    <mergeCell ref="A10:L10"/>
    <mergeCell ref="A41:L42"/>
    <mergeCell ref="D26:F26"/>
    <mergeCell ref="A39:C39"/>
    <mergeCell ref="G11:I11"/>
    <mergeCell ref="G4:H4"/>
    <mergeCell ref="D19:F19"/>
    <mergeCell ref="A36:C36"/>
    <mergeCell ref="A11:C11"/>
    <mergeCell ref="G2:L2"/>
    <mergeCell ref="A1:L1"/>
    <mergeCell ref="G39:I39"/>
    <mergeCell ref="A6:F6"/>
  </mergeCells>
  <conditionalFormatting sqref="F4">
    <cfRule type="expression" priority="1" dxfId="0">
      <formula>F4&gt;0.005</formula>
    </cfRule>
    <cfRule type="expression" priority="2" dxfId="1">
      <formula>F4&lt;-0.005</formula>
    </cfRule>
    <cfRule type="expression" priority="3" dxfId="2">
      <formula>ABS(F4)&lt;=0.005</formula>
    </cfRule>
  </conditionalFormatting>
  <conditionalFormatting sqref="L4">
    <cfRule type="expression" priority="4" dxfId="0">
      <formula>L4&gt;0.005</formula>
    </cfRule>
    <cfRule type="expression" priority="5" dxfId="1">
      <formula>L4&lt;-0.005</formula>
    </cfRule>
    <cfRule type="expression" priority="6" dxfId="2">
      <formula>ABS(L4)&lt;=0.005</formula>
    </cfRule>
  </conditionalFormatting>
  <conditionalFormatting sqref="A6:F6">
    <cfRule type="expression" priority="7" dxfId="0">
      <formula>A6&gt;0.005</formula>
    </cfRule>
    <cfRule type="expression" priority="8" dxfId="1">
      <formula>A6&lt;-0.005</formula>
    </cfRule>
    <cfRule type="expression" priority="9" dxfId="2">
      <formula>ABS(A6)&lt;=0.005</formula>
    </cfRule>
  </conditionalFormatting>
  <conditionalFormatting sqref="G6:L6">
    <cfRule type="expression" priority="10" dxfId="0">
      <formula>G6&gt;0.005</formula>
    </cfRule>
    <cfRule type="expression" priority="11" dxfId="1">
      <formula>G6&lt;-0.005</formula>
    </cfRule>
    <cfRule type="expression" priority="12" dxfId="2">
      <formula>ABS(G6)&lt;=0.005</formula>
    </cfRule>
  </conditionalFormatting>
  <pageMargins left="0.35" right="0.35" top="0.5" bottom="0.5" header="0.5" footer="0.5"/>
  <pageSetup orientation="landscape" paperSize="1" fitToHeight="1" fitToWidth="1"/>
  <headerFooter>
    <oddHeader>&amp;LCare Team Budget Planner — Client Review</oddHeader>
    <oddFooter>&amp;LUnreleased v1.2 preview</oddFooter>
    <evenHeader/>
    <evenFooter/>
    <firstHeader/>
    <firstFooter/>
  </headerFooter>
</worksheet>
</file>

<file path=xl/worksheets/sheet5.xml><?xml version="1.0" encoding="utf-8"?>
<worksheet xmlns="http://schemas.openxmlformats.org/spreadsheetml/2006/main">
  <sheetPr>
    <tabColor rgb="007F7F7F"/>
    <outlinePr summaryBelow="1" summaryRight="1"/>
    <pageSetUpPr fitToPage="1"/>
  </sheetPr>
  <dimension ref="A1:J46"/>
  <sheetViews>
    <sheetView zoomScale="100" zoomScaleNormal="100" workbookViewId="0">
      <pane xSplit="2" ySplit="3" topLeftCell="C4" activePane="bottomRight" state="frozen"/>
      <selection pane="topRight"/>
      <selection pane="bottomLeft"/>
      <selection pane="bottomRight" activeCell="A1" sqref="A1"/>
    </sheetView>
  </sheetViews>
  <sheetFormatPr baseColWidth="8" defaultRowHeight="15"/>
  <cols>
    <col width="24" customWidth="1" min="1" max="1"/>
    <col width="48" customWidth="1" min="2" max="2"/>
    <col width="16" customWidth="1" min="3" max="3"/>
    <col width="25" customWidth="1" min="4" max="4"/>
    <col width="34" customWidth="1" min="5" max="5"/>
    <col width="22" customWidth="1" min="6" max="6"/>
    <col width="26" customWidth="1" min="7" max="7"/>
    <col width="40" customWidth="1" min="8" max="8"/>
    <col width="14" customWidth="1" min="9" max="9"/>
    <col width="52" customWidth="1" min="10" max="10"/>
  </cols>
  <sheetData>
    <row r="1">
      <c r="A1" s="78" t="inlineStr">
        <is>
          <t>Parameters — payroll, policy, and planning figures</t>
        </is>
      </c>
    </row>
    <row r="2" ht="48" customHeight="1">
      <c r="A2" s="79" t="inlineStr">
        <is>
          <t>Navigators maintain this sheet. Employers usually stay on Funding, Care Team, Expenses, and Client Review. Blue Value cells feed the planner. Gray values are references and stay locked. Authoritative expense text: CSIL Expense Guidelines, June 2023, Ministry of Health; SCI-BC (secondary distribution); access date 2026-09-17. PDF: https://sci-bc.ca/wp-content/uploads/2024/05/csil-expense-guidelines-2023.pdf  Landing: https://sci-bc.ca/resource/csil-expense-guidelines/. Surplus retention: Home and Community Care Policy Manual, Chapter 4.C.3 CSIL Administration. Do not invent other statuses or dollar limits.</t>
        </is>
      </c>
    </row>
    <row r="3">
      <c r="A3" s="43" t="inlineStr">
        <is>
          <t>Section</t>
        </is>
      </c>
      <c r="B3" s="43" t="inlineStr">
        <is>
          <t>Parameter</t>
        </is>
      </c>
      <c r="C3" s="43" t="inlineStr">
        <is>
          <t>Value</t>
        </is>
      </c>
      <c r="D3" s="43" t="inlineStr">
        <is>
          <t>Unit</t>
        </is>
      </c>
      <c r="E3" s="43" t="inlineStr">
        <is>
          <t>Status</t>
        </is>
      </c>
      <c r="F3" s="43" t="inlineStr">
        <is>
          <t>Effective date</t>
        </is>
      </c>
      <c r="G3" s="43" t="inlineStr">
        <is>
          <t>Source organization</t>
        </is>
      </c>
      <c r="H3" s="43" t="inlineStr">
        <is>
          <t>Source</t>
        </is>
      </c>
      <c r="I3" s="43" t="inlineStr">
        <is>
          <t>Verified date</t>
        </is>
      </c>
      <c r="J3" s="43" t="inlineStr">
        <is>
          <t>Notes</t>
        </is>
      </c>
    </row>
    <row r="4" ht="38" customHeight="1">
      <c r="A4" s="80" t="inlineStr">
        <is>
          <t>Payroll and statutory assumptions</t>
        </is>
      </c>
      <c r="B4" s="81" t="inlineStr">
        <is>
          <t>CPP employer rate</t>
        </is>
      </c>
      <c r="C4" s="82" t="n">
        <v>0.0595</v>
      </c>
      <c r="D4" s="81" t="inlineStr">
        <is>
          <t>fraction</t>
        </is>
      </c>
      <c r="E4" s="81" t="inlineStr">
        <is>
          <t>Verified policy limit</t>
        </is>
      </c>
      <c r="F4" s="83" t="inlineStr">
        <is>
          <t>2026-01-01</t>
        </is>
      </c>
      <c r="G4" s="81" t="inlineStr">
        <is>
          <t>Canada Revenue Agency</t>
        </is>
      </c>
      <c r="H4" s="81" t="inlineStr">
        <is>
          <t>https://www.canada.ca/en/revenue-agency/services/tax/businesses/topics/payroll/payroll-deductions-contributions/canada-pension-plan-cpp/cpp-contribution-rates-maximums-exemptions.html</t>
        </is>
      </c>
      <c r="I4" s="81" t="inlineStr">
        <is>
          <t>2026-09-17</t>
        </is>
      </c>
      <c r="J4" s="81" t="inlineStr">
        <is>
          <t>Employer share 5.95% on pensionable earnings after the basic exemption, up to YMPE. Applied per person.</t>
        </is>
      </c>
    </row>
    <row r="5" ht="30" customHeight="1">
      <c r="A5" s="80" t="inlineStr">
        <is>
          <t>Payroll and statutory assumptions</t>
        </is>
      </c>
      <c r="B5" s="81" t="inlineStr">
        <is>
          <t>CPP basic exemption</t>
        </is>
      </c>
      <c r="C5" s="84" t="n">
        <v>3500</v>
      </c>
      <c r="D5" s="81" t="inlineStr">
        <is>
          <t>$/person/year</t>
        </is>
      </c>
      <c r="E5" s="81" t="inlineStr">
        <is>
          <t>Verified policy limit</t>
        </is>
      </c>
      <c r="F5" s="83" t="inlineStr">
        <is>
          <t>2026-01-01</t>
        </is>
      </c>
      <c r="G5" s="81" t="inlineStr">
        <is>
          <t>Canada Revenue Agency</t>
        </is>
      </c>
      <c r="H5" s="81" t="inlineStr">
        <is>
          <t>https://www.canada.ca/en/revenue-agency/services/tax/businesses/topics/payroll/payroll-deductions-contributions/canada-pension-plan-cpp/cpp-contribution-rates-maximums-exemptions.html</t>
        </is>
      </c>
      <c r="I5" s="81" t="inlineStr">
        <is>
          <t>2026-09-17</t>
        </is>
      </c>
      <c r="J5" s="81" t="inlineStr">
        <is>
          <t>Applied once per person — not as one combined wage total minus several exemptions.</t>
        </is>
      </c>
    </row>
    <row r="6" ht="30" customHeight="1">
      <c r="A6" s="80" t="inlineStr">
        <is>
          <t>Payroll and statutory assumptions</t>
        </is>
      </c>
      <c r="B6" s="81" t="inlineStr">
        <is>
          <t>CPP YMPE</t>
        </is>
      </c>
      <c r="C6" s="84" t="n">
        <v>74600</v>
      </c>
      <c r="D6" s="81" t="inlineStr">
        <is>
          <t>$/year</t>
        </is>
      </c>
      <c r="E6" s="81" t="inlineStr">
        <is>
          <t>Verified policy limit</t>
        </is>
      </c>
      <c r="F6" s="83" t="inlineStr">
        <is>
          <t>2026-01-01</t>
        </is>
      </c>
      <c r="G6" s="81" t="inlineStr">
        <is>
          <t>Canada Revenue Agency</t>
        </is>
      </c>
      <c r="H6" s="81" t="inlineStr">
        <is>
          <t>https://www.canada.ca/en/revenue-agency/services/tax/businesses/topics/payroll/payroll-deductions-contributions/canada-pension-plan-cpp/cpp-contribution-rates-maximums-exemptions.html</t>
        </is>
      </c>
      <c r="I6" s="81" t="inlineStr">
        <is>
          <t>2026-09-17</t>
        </is>
      </c>
      <c r="J6" s="81" t="inlineStr">
        <is>
          <t>2026 Year’s Maximum Pensionable Earnings. Caps base CPP per person.</t>
        </is>
      </c>
    </row>
    <row r="7" ht="30" customHeight="1">
      <c r="A7" s="80" t="inlineStr">
        <is>
          <t>Payroll and statutory assumptions</t>
        </is>
      </c>
      <c r="B7" s="81" t="inlineStr">
        <is>
          <t>CPP2 employer rate</t>
        </is>
      </c>
      <c r="C7" s="82" t="n">
        <v>0.04</v>
      </c>
      <c r="D7" s="81" t="inlineStr">
        <is>
          <t>fraction</t>
        </is>
      </c>
      <c r="E7" s="81" t="inlineStr">
        <is>
          <t>Verified policy limit</t>
        </is>
      </c>
      <c r="F7" s="83" t="inlineStr">
        <is>
          <t>2026-01-01</t>
        </is>
      </c>
      <c r="G7" s="81" t="inlineStr">
        <is>
          <t>Canada Revenue Agency</t>
        </is>
      </c>
      <c r="H7" s="81" t="inlineStr">
        <is>
          <t>https://www.canada.ca/en/revenue-agency/services/tax/businesses/topics/payroll/calculating-deductions/making-deductions/second-additional-cpp-contribution-rates-maximums.html</t>
        </is>
      </c>
      <c r="I7" s="81" t="inlineStr">
        <is>
          <t>2026-09-17</t>
        </is>
      </c>
      <c r="J7" s="81" t="inlineStr">
        <is>
          <t>4% on earnings between YMPE and YAMPE. No basic exemption on this tier.</t>
        </is>
      </c>
    </row>
    <row r="8" ht="30" customHeight="1">
      <c r="A8" s="80" t="inlineStr">
        <is>
          <t>Payroll and statutory assumptions</t>
        </is>
      </c>
      <c r="B8" s="81" t="inlineStr">
        <is>
          <t>CPP YAMPE</t>
        </is>
      </c>
      <c r="C8" s="84" t="n">
        <v>85000</v>
      </c>
      <c r="D8" s="81" t="inlineStr">
        <is>
          <t>$/year</t>
        </is>
      </c>
      <c r="E8" s="81" t="inlineStr">
        <is>
          <t>Verified policy limit</t>
        </is>
      </c>
      <c r="F8" s="83" t="inlineStr">
        <is>
          <t>2026-01-01</t>
        </is>
      </c>
      <c r="G8" s="81" t="inlineStr">
        <is>
          <t>Canada Revenue Agency</t>
        </is>
      </c>
      <c r="H8" s="81" t="inlineStr">
        <is>
          <t>https://www.canada.ca/en/revenue-agency/services/tax/businesses/topics/payroll/calculating-deductions/making-deductions/second-additional-cpp-contribution-rates-maximums.html</t>
        </is>
      </c>
      <c r="I8" s="81" t="inlineStr">
        <is>
          <t>2026-09-17</t>
        </is>
      </c>
      <c r="J8" s="81" t="inlineStr">
        <is>
          <t>CRA 2026 Year’s Additional Maximum Pensionable Earnings ($85,000).</t>
        </is>
      </c>
    </row>
    <row r="9" ht="30" customHeight="1">
      <c r="A9" s="80" t="inlineStr">
        <is>
          <t>Payroll and statutory assumptions</t>
        </is>
      </c>
      <c r="B9" s="81" t="inlineStr">
        <is>
          <t>EI employer rate</t>
        </is>
      </c>
      <c r="C9" s="82" t="n">
        <v>0.02282</v>
      </c>
      <c r="D9" s="81" t="inlineStr">
        <is>
          <t>fraction</t>
        </is>
      </c>
      <c r="E9" s="81" t="inlineStr">
        <is>
          <t>Verified policy limit</t>
        </is>
      </c>
      <c r="F9" s="83" t="inlineStr">
        <is>
          <t>2026-01-01</t>
        </is>
      </c>
      <c r="G9" s="81" t="inlineStr">
        <is>
          <t>Canada Revenue Agency</t>
        </is>
      </c>
      <c r="H9" s="81" t="inlineStr">
        <is>
          <t>https://www.canada.ca/en/revenue-agency/services/tax/businesses/topics/payroll/payroll-deductions-contributions/employment-insurance-ei/ei-premium-rates-maximums.html</t>
        </is>
      </c>
      <c r="I9" s="81" t="inlineStr">
        <is>
          <t>2026-09-17</t>
        </is>
      </c>
      <c r="J9" s="81" t="inlineStr">
        <is>
          <t>1.4 × employee 1.63% = 2.282%. Applied per person up to the maximum insurable earnings.</t>
        </is>
      </c>
    </row>
    <row r="10" ht="30" customHeight="1">
      <c r="A10" s="80" t="inlineStr">
        <is>
          <t>Payroll and statutory assumptions</t>
        </is>
      </c>
      <c r="B10" s="81" t="inlineStr">
        <is>
          <t>EI maximum insurable earnings (MIE)</t>
        </is>
      </c>
      <c r="C10" s="84" t="n">
        <v>68900</v>
      </c>
      <c r="D10" s="81" t="inlineStr">
        <is>
          <t>$/year</t>
        </is>
      </c>
      <c r="E10" s="81" t="inlineStr">
        <is>
          <t>Verified policy limit</t>
        </is>
      </c>
      <c r="F10" s="83" t="inlineStr">
        <is>
          <t>2026-01-01</t>
        </is>
      </c>
      <c r="G10" s="81" t="inlineStr">
        <is>
          <t>Canada Revenue Agency</t>
        </is>
      </c>
      <c r="H10" s="81" t="inlineStr">
        <is>
          <t>https://www.canada.ca/en/revenue-agency/services/tax/businesses/topics/payroll/payroll-deductions-contributions/employment-insurance-ei/ei-premium-rates-maximums.html</t>
        </is>
      </c>
      <c r="I10" s="81" t="inlineStr">
        <is>
          <t>2026-09-17</t>
        </is>
      </c>
      <c r="J10" s="81" t="inlineStr">
        <is>
          <t>2026 MIE $68,900. Employer EI is capped per person.</t>
        </is>
      </c>
    </row>
    <row r="11" ht="30" customHeight="1">
      <c r="A11" s="80" t="inlineStr">
        <is>
          <t>Payroll and statutory assumptions</t>
        </is>
      </c>
      <c r="B11" s="81" t="inlineStr">
        <is>
          <t>Vacation pay rate (ESA floor &lt;5 years)</t>
        </is>
      </c>
      <c r="C11" s="82" t="n">
        <v>0.04</v>
      </c>
      <c r="D11" s="81" t="inlineStr">
        <is>
          <t>fraction</t>
        </is>
      </c>
      <c r="E11" s="81" t="inlineStr">
        <is>
          <t>Verified policy limit</t>
        </is>
      </c>
      <c r="F11" s="83" t="inlineStr">
        <is>
          <t>BC ESA</t>
        </is>
      </c>
      <c r="G11" s="81" t="inlineStr">
        <is>
          <t>BC Employment Standards</t>
        </is>
      </c>
      <c r="H11" s="81" t="inlineStr">
        <is>
          <t>https://www2.gov.bc.ca/gov/content/employment-business/employment-standards-advice/employment-standards/hours-overtime-statutory-holidays/vacation-pay</t>
        </is>
      </c>
      <c r="I11" s="81" t="inlineStr">
        <is>
          <t>2026-09-17</t>
        </is>
      </c>
      <c r="J11" s="81" t="inlineStr">
        <is>
          <t>Default 4% when a Current vacation cell is blank. A row can be set to 6% after 5 years.</t>
        </is>
      </c>
    </row>
    <row r="12" ht="30" customHeight="1">
      <c r="A12" s="80" t="inlineStr">
        <is>
          <t>Payroll and statutory assumptions</t>
        </is>
      </c>
      <c r="B12" s="81" t="inlineStr">
        <is>
          <t>Sick planning allowance rate</t>
        </is>
      </c>
      <c r="C12" s="85" t="n">
        <v>0.02</v>
      </c>
      <c r="D12" s="81" t="inlineStr">
        <is>
          <t>fraction of annual direct</t>
        </is>
      </c>
      <c r="E12" s="81" t="inlineStr">
        <is>
          <t>Planning assumption</t>
        </is>
      </c>
      <c r="F12" s="83" t="inlineStr">
        <is>
          <t>planning</t>
        </is>
      </c>
      <c r="G12" s="81" t="inlineStr">
        <is>
          <t>BC Employment Standards</t>
        </is>
      </c>
      <c r="H12" s="81" t="inlineStr">
        <is>
          <t>https://www2.gov.bc.ca/gov/content/employment-business/employment-standards-advice/employment-standards/time-off/sick-leave</t>
        </is>
      </c>
      <c r="I12" s="81" t="inlineStr">
        <is>
          <t>2026-09-17</t>
        </is>
      </c>
      <c r="J12" s="81" t="inlineStr">
        <is>
          <t>Planning allowance only (about 5 paid sick days, about 2%). Not a payroll calculation of sick leave taken.</t>
        </is>
      </c>
    </row>
    <row r="13" ht="30" customHeight="1">
      <c r="A13" s="80" t="inlineStr">
        <is>
          <t>Payroll and statutory assumptions</t>
        </is>
      </c>
      <c r="B13" s="81" t="inlineStr">
        <is>
          <t>Statutory holiday days count</t>
        </is>
      </c>
      <c r="C13" s="85" t="n">
        <v>11</v>
      </c>
      <c r="D13" s="81" t="inlineStr">
        <is>
          <t>days/year</t>
        </is>
      </c>
      <c r="E13" s="81" t="inlineStr">
        <is>
          <t>Planning assumption</t>
        </is>
      </c>
      <c r="F13" s="83" t="inlineStr">
        <is>
          <t>planning</t>
        </is>
      </c>
      <c r="G13" s="81" t="inlineStr">
        <is>
          <t>BC Employment Standards</t>
        </is>
      </c>
      <c r="H13" s="81" t="inlineStr">
        <is>
          <t>https://www2.gov.bc.ca/gov/content/employment-business/employment-standards-advice/employment-standards/hours-overtime-statutory-holidays</t>
        </is>
      </c>
      <c r="I13" s="81" t="inlineStr">
        <is>
          <t>2026-09-17</t>
        </is>
      </c>
      <c r="J13" s="81" t="inlineStr">
        <is>
          <t>Planning allowance: (weekly pay / 7) × multiplier × days. Not a payroll engine.</t>
        </is>
      </c>
    </row>
    <row r="14" ht="30" customHeight="1">
      <c r="A14" s="80" t="inlineStr">
        <is>
          <t>Payroll and statutory assumptions</t>
        </is>
      </c>
      <c r="B14" s="81" t="inlineStr">
        <is>
          <t>Statutory holiday pay multiplier</t>
        </is>
      </c>
      <c r="C14" s="85" t="n">
        <v>1.5</v>
      </c>
      <c r="D14" s="81" t="inlineStr">
        <is>
          <t>× daily equivalent</t>
        </is>
      </c>
      <c r="E14" s="81" t="inlineStr">
        <is>
          <t>Planning assumption</t>
        </is>
      </c>
      <c r="F14" s="83" t="inlineStr">
        <is>
          <t>planning</t>
        </is>
      </c>
      <c r="G14" s="81" t="inlineStr">
        <is>
          <t>BC Employment Standards</t>
        </is>
      </c>
      <c r="H14" s="81" t="inlineStr">
        <is>
          <t>https://www2.gov.bc.ca/gov/content/employment-business/employment-standards-advice/employment-standards/hours-overtime-statutory-holidays</t>
        </is>
      </c>
      <c r="I14" s="81" t="inlineStr">
        <is>
          <t>2026-09-17</t>
        </is>
      </c>
      <c r="J14" s="81" t="inlineStr">
        <is>
          <t>Planning allowance. Same method as the previous planner.</t>
        </is>
      </c>
    </row>
    <row r="15" ht="30" customHeight="1">
      <c r="A15" s="80" t="inlineStr">
        <is>
          <t>Payroll and statutory assumptions</t>
        </is>
      </c>
      <c r="B15" s="81" t="inlineStr">
        <is>
          <t>Vacation pay rate (ESA 5+ years)</t>
        </is>
      </c>
      <c r="C15" s="82" t="n">
        <v>0.06</v>
      </c>
      <c r="D15" s="81" t="inlineStr">
        <is>
          <t>fraction</t>
        </is>
      </c>
      <c r="E15" s="81" t="inlineStr">
        <is>
          <t>Verified policy limit</t>
        </is>
      </c>
      <c r="F15" s="83" t="inlineStr">
        <is>
          <t>BC ESA</t>
        </is>
      </c>
      <c r="G15" s="81" t="inlineStr">
        <is>
          <t>BC Employment Standards</t>
        </is>
      </c>
      <c r="H15" s="81" t="inlineStr">
        <is>
          <t>https://www2.gov.bc.ca/gov/content/employment-business/employment-standards-advice/employment-standards/hours-overtime-statutory-holidays/vacation-pay</t>
        </is>
      </c>
      <c r="I15" s="81" t="inlineStr">
        <is>
          <t>2026-09-17</t>
        </is>
      </c>
      <c r="J15" s="81" t="inlineStr">
        <is>
          <t>6% after 5 years. Enter 6% on that person’s Care Team rows.</t>
        </is>
      </c>
    </row>
    <row r="16" ht="30" customHeight="1">
      <c r="A16" s="80" t="inlineStr">
        <is>
          <t>Payroll and statutory assumptions</t>
        </is>
      </c>
      <c r="B16" s="81" t="inlineStr">
        <is>
          <t>WorkSafeBC rate</t>
        </is>
      </c>
      <c r="C16" s="82" t="n">
        <v>0.0146</v>
      </c>
      <c r="D16" s="81" t="inlineStr">
        <is>
          <t>fraction</t>
        </is>
      </c>
      <c r="E16" s="81" t="inlineStr">
        <is>
          <t>Planning assumption</t>
        </is>
      </c>
      <c r="F16" s="83" t="inlineStr">
        <is>
          <t>confirm classification</t>
        </is>
      </c>
      <c r="G16" s="81" t="inlineStr">
        <is>
          <t>WorkSafeBC</t>
        </is>
      </c>
      <c r="H16" s="81" t="inlineStr">
        <is>
          <t>https://www.worksafebc.com/en/insurance/know-your-premium/how-premiums-work</t>
        </is>
      </c>
      <c r="I16" s="81" t="inlineStr">
        <is>
          <t>2026-09-17</t>
        </is>
      </c>
      <c r="J16" s="81" t="inlineStr">
        <is>
          <t>Planning assumption — confirm the classification. This is the only WorkSafeBC rate the planner uses.</t>
        </is>
      </c>
    </row>
    <row r="17" ht="38" customHeight="1">
      <c r="A17" s="80" t="inlineStr">
        <is>
          <t>Funding and policy references</t>
        </is>
      </c>
      <c r="B17" s="81" t="inlineStr">
        <is>
          <t>Weeks-to-month factor</t>
        </is>
      </c>
      <c r="C17" s="86">
        <f>'Calculations'!B5</f>
        <v/>
      </c>
      <c r="D17" s="81" t="inlineStr">
        <is>
          <t>weeks/month</t>
        </is>
      </c>
      <c r="E17" s="81" t="inlineStr">
        <is>
          <t>Planning assumption</t>
        </is>
      </c>
      <c r="F17" s="83" t="inlineStr">
        <is>
          <t>calendar</t>
        </is>
      </c>
      <c r="G17" s="81" t="inlineStr">
        <is>
          <t>Calendar</t>
        </is>
      </c>
      <c r="H17" s="81" t="inlineStr"/>
      <c r="I17" s="81" t="inlineStr">
        <is>
          <t>2026-09-17</t>
        </is>
      </c>
      <c r="J17" s="81" t="inlineStr">
        <is>
          <t>Displays Calculations!B5, which is 365/12/7. Average month, not a payroll calendar.</t>
        </is>
      </c>
    </row>
    <row r="18" ht="30" customHeight="1">
      <c r="A18" s="80" t="inlineStr">
        <is>
          <t>Funding and policy references</t>
        </is>
      </c>
      <c r="B18" s="81" t="inlineStr">
        <is>
          <t>CSIL public rate sample</t>
        </is>
      </c>
      <c r="C18" s="87" t="n">
        <v>38.19</v>
      </c>
      <c r="D18" s="81" t="inlineStr">
        <is>
          <t>$/hour</t>
        </is>
      </c>
      <c r="E18" s="81" t="inlineStr">
        <is>
          <t>Verified policy limit</t>
        </is>
      </c>
      <c r="F18" s="83" t="inlineStr">
        <is>
          <t>2024-04-01</t>
        </is>
      </c>
      <c r="G18" s="81" t="inlineStr">
        <is>
          <t>Province of British Columbia</t>
        </is>
      </c>
      <c r="H18" s="81" t="inlineStr">
        <is>
          <t>https://www2.gov.bc.ca/</t>
        </is>
      </c>
      <c r="I18" s="81" t="inlineStr">
        <is>
          <t>2026-09-17</t>
        </is>
      </c>
      <c r="J18" s="81" t="inlineStr">
        <is>
          <t>Published sample used for cross-check. The live rate is the blue Current cell on Funding.</t>
        </is>
      </c>
    </row>
    <row r="19" ht="30" customHeight="1">
      <c r="A19" s="80" t="inlineStr">
        <is>
          <t>Funding and policy references</t>
        </is>
      </c>
      <c r="B19" s="81" t="inlineStr">
        <is>
          <t>Sample CSIL funding rate</t>
        </is>
      </c>
      <c r="C19" s="87" t="n">
        <v>40.52</v>
      </c>
      <c r="D19" s="81" t="inlineStr">
        <is>
          <t>$/hour</t>
        </is>
      </c>
      <c r="E19" s="81" t="inlineStr">
        <is>
          <t>To verify</t>
        </is>
      </c>
      <c r="F19" s="83" t="inlineStr">
        <is>
          <t>USER TEST</t>
        </is>
      </c>
      <c r="G19" s="81" t="inlineStr">
        <is>
          <t>Advisor / employer</t>
        </is>
      </c>
      <c r="H19" s="81" t="inlineStr"/>
      <c r="I19" s="81" t="inlineStr">
        <is>
          <t>2026-09-17</t>
        </is>
      </c>
      <c r="J19" s="81" t="inlineStr">
        <is>
          <t>The synthetic sample opens at this rate. It is not a verified public figure. Change the Current rate on Funding.</t>
        </is>
      </c>
    </row>
    <row r="20" ht="30" customHeight="1">
      <c r="A20" s="80" t="inlineStr">
        <is>
          <t>Funding and policy references</t>
        </is>
      </c>
      <c r="B20" s="81" t="inlineStr">
        <is>
          <t>Operating reserve retention ceiling</t>
        </is>
      </c>
      <c r="C20" s="86" t="n">
        <v>1</v>
      </c>
      <c r="D20" s="81" t="inlineStr">
        <is>
          <t>month of CSIL funding</t>
        </is>
      </c>
      <c r="E20" s="81" t="inlineStr">
        <is>
          <t>Verified policy limit</t>
        </is>
      </c>
      <c r="F20" s="83" t="inlineStr">
        <is>
          <t>Home and Community Care Policy Manual, Chapter 4.C.3 CSIL Administration</t>
        </is>
      </c>
      <c r="G20" s="81" t="inlineStr">
        <is>
          <t>Ministry of Health</t>
        </is>
      </c>
      <c r="H20" s="81" t="inlineStr">
        <is>
          <t>https://www2.gov.bc.ca/gov/content/health/accessing-health-care/home-community-care/accountability/policy-and-standards</t>
        </is>
      </c>
      <c r="I20" s="81" t="inlineStr">
        <is>
          <t>2026-09-17</t>
        </is>
      </c>
      <c r="J20" s="81" t="inlineStr">
        <is>
          <t>Ministry term: surplus funds. The authorized ceiling is one month of CSIL funding (hours × rate), not one month of wages plus operating expenses. The planner calls this the operating reserve. The 12-month projection is not capped at this ceiling.</t>
        </is>
      </c>
    </row>
    <row r="21" ht="38" customHeight="1">
      <c r="A21" s="80" t="inlineStr">
        <is>
          <t>CSIL expense policy limits</t>
        </is>
      </c>
      <c r="B21" s="81" t="inlineStr">
        <is>
          <t>Accounting / bookkeeping / payroll services</t>
        </is>
      </c>
      <c r="C21" s="84" t="n">
        <v>300</v>
      </c>
      <c r="D21" s="81" t="inlineStr">
        <is>
          <t>$/month incl. GST</t>
        </is>
      </c>
      <c r="E21" s="81" t="inlineStr">
        <is>
          <t>Verified policy limit</t>
        </is>
      </c>
      <c r="F21" s="83" t="inlineStr">
        <is>
          <t>June 2023</t>
        </is>
      </c>
      <c r="G21" s="81" t="inlineStr">
        <is>
          <t>Ministry of Health</t>
        </is>
      </c>
      <c r="H21" s="81" t="inlineStr">
        <is>
          <t>https://sci-bc.ca/wp-content/uploads/2024/05/csil-expense-guidelines-2023.pdf</t>
        </is>
      </c>
      <c r="I21" s="81" t="inlineStr">
        <is>
          <t>2026-09-17</t>
        </is>
      </c>
      <c r="J21" s="81" t="inlineStr">
        <is>
          <t>Up to $300/month including GST.</t>
        </is>
      </c>
    </row>
    <row r="22" ht="30" customHeight="1">
      <c r="A22" s="80" t="inlineStr">
        <is>
          <t>CSIL expense policy limits</t>
        </is>
      </c>
      <c r="B22" s="81" t="inlineStr">
        <is>
          <t>Bank charges</t>
        </is>
      </c>
      <c r="C22" s="84" t="n">
        <v>40</v>
      </c>
      <c r="D22" s="81" t="inlineStr">
        <is>
          <t>$/month</t>
        </is>
      </c>
      <c r="E22" s="81" t="inlineStr">
        <is>
          <t>Verified policy limit</t>
        </is>
      </c>
      <c r="F22" s="83" t="inlineStr">
        <is>
          <t>June 2023</t>
        </is>
      </c>
      <c r="G22" s="81" t="inlineStr">
        <is>
          <t>Ministry of Health</t>
        </is>
      </c>
      <c r="H22" s="81" t="inlineStr">
        <is>
          <t>https://sci-bc.ca/wp-content/uploads/2024/05/csil-expense-guidelines-2023.pdf</t>
        </is>
      </c>
      <c r="I22" s="81" t="inlineStr">
        <is>
          <t>2026-09-17</t>
        </is>
      </c>
      <c r="J22" s="81" t="inlineStr">
        <is>
          <t>Up to $40/month. Exception: cheque purchase with receipt.</t>
        </is>
      </c>
    </row>
    <row r="23" ht="30" customHeight="1">
      <c r="A23" s="80" t="inlineStr">
        <is>
          <t>CSIL expense policy limits</t>
        </is>
      </c>
      <c r="B23" s="81" t="inlineStr">
        <is>
          <t>Administrative expenses</t>
        </is>
      </c>
      <c r="C23" s="84" t="n">
        <v>400</v>
      </c>
      <c r="D23" s="81" t="inlineStr">
        <is>
          <t>$/year</t>
        </is>
      </c>
      <c r="E23" s="81" t="inlineStr">
        <is>
          <t>Verified policy limit</t>
        </is>
      </c>
      <c r="F23" s="83" t="inlineStr">
        <is>
          <t>June 2023</t>
        </is>
      </c>
      <c r="G23" s="81" t="inlineStr">
        <is>
          <t>Ministry of Health</t>
        </is>
      </c>
      <c r="H23" s="81" t="inlineStr">
        <is>
          <t>https://sci-bc.ca/wp-content/uploads/2024/05/csil-expense-guidelines-2023.pdf</t>
        </is>
      </c>
      <c r="I23" s="81" t="inlineStr">
        <is>
          <t>2026-09-17</t>
        </is>
      </c>
      <c r="J23" s="81" t="inlineStr">
        <is>
          <t>Up to $400/year. Annual amounts described monthly in the guidelines are for planning convenience only.</t>
        </is>
      </c>
    </row>
    <row r="24" ht="30" customHeight="1">
      <c r="A24" s="80" t="inlineStr">
        <is>
          <t>CSIL expense policy limits</t>
        </is>
      </c>
      <c r="B24" s="81" t="inlineStr">
        <is>
          <t>Administrative storage / mini-filing cabinet</t>
        </is>
      </c>
      <c r="C24" s="84" t="n">
        <v>50</v>
      </c>
      <c r="D24" s="81" t="inlineStr">
        <is>
          <t>$ one-time</t>
        </is>
      </c>
      <c r="E24" s="81" t="inlineStr">
        <is>
          <t>Verified policy limit</t>
        </is>
      </c>
      <c r="F24" s="83" t="inlineStr">
        <is>
          <t>June 2023</t>
        </is>
      </c>
      <c r="G24" s="81" t="inlineStr">
        <is>
          <t>Ministry of Health</t>
        </is>
      </c>
      <c r="H24" s="81" t="inlineStr">
        <is>
          <t>https://sci-bc.ca/wp-content/uploads/2024/05/csil-expense-guidelines-2023.pdf</t>
        </is>
      </c>
      <c r="I24" s="81" t="inlineStr">
        <is>
          <t>2026-09-17</t>
        </is>
      </c>
      <c r="J24" s="81" t="inlineStr">
        <is>
          <t>One-time expense up to $50 for storage units or mini-filing cabinets.</t>
        </is>
      </c>
    </row>
    <row r="25" ht="30" customHeight="1">
      <c r="A25" s="80" t="inlineStr">
        <is>
          <t>CSIL expense policy limits</t>
        </is>
      </c>
      <c r="B25" s="81" t="inlineStr">
        <is>
          <t>Advertising (published range minimum)</t>
        </is>
      </c>
      <c r="C25" s="84" t="n">
        <v>200</v>
      </c>
      <c r="D25" s="81" t="inlineStr">
        <is>
          <t>$/year</t>
        </is>
      </c>
      <c r="E25" s="81" t="inlineStr">
        <is>
          <t>Verified policy limit</t>
        </is>
      </c>
      <c r="F25" s="83" t="inlineStr">
        <is>
          <t>June 2023</t>
        </is>
      </c>
      <c r="G25" s="81" t="inlineStr">
        <is>
          <t>Ministry of Health</t>
        </is>
      </c>
      <c r="H25" s="81" t="inlineStr">
        <is>
          <t>https://sci-bc.ca/wp-content/uploads/2024/05/csil-expense-guidelines-2023.pdf</t>
        </is>
      </c>
      <c r="I25" s="81" t="inlineStr">
        <is>
          <t>2026-09-17</t>
        </is>
      </c>
      <c r="J25" s="81" t="inlineStr">
        <is>
          <t>Published range $200–$1500/year.</t>
        </is>
      </c>
    </row>
    <row r="26" ht="30" customHeight="1">
      <c r="A26" s="80" t="inlineStr">
        <is>
          <t>CSIL expense policy limits</t>
        </is>
      </c>
      <c r="B26" s="81" t="inlineStr">
        <is>
          <t>Advertising (published range maximum)</t>
        </is>
      </c>
      <c r="C26" s="84" t="n">
        <v>1500</v>
      </c>
      <c r="D26" s="81" t="inlineStr">
        <is>
          <t>$/year</t>
        </is>
      </c>
      <c r="E26" s="81" t="inlineStr">
        <is>
          <t>Verified policy limit</t>
        </is>
      </c>
      <c r="F26" s="83" t="inlineStr">
        <is>
          <t>June 2023</t>
        </is>
      </c>
      <c r="G26" s="81" t="inlineStr">
        <is>
          <t>Ministry of Health</t>
        </is>
      </c>
      <c r="H26" s="81" t="inlineStr">
        <is>
          <t>https://sci-bc.ca/wp-content/uploads/2024/05/csil-expense-guidelines-2023.pdf</t>
        </is>
      </c>
      <c r="I26" s="81" t="inlineStr">
        <is>
          <t>2026-09-17</t>
        </is>
      </c>
      <c r="J26" s="81" t="inlineStr">
        <is>
          <t>Published range $200–$1500/year. Expenses compares advertising with this maximum.</t>
        </is>
      </c>
    </row>
    <row r="27" ht="30" customHeight="1">
      <c r="A27" s="80" t="inlineStr">
        <is>
          <t>CSIL expense policy limits</t>
        </is>
      </c>
      <c r="B27" s="81" t="inlineStr">
        <is>
          <t>Recruitment facilitation</t>
        </is>
      </c>
      <c r="C27" s="84" t="n">
        <v>200</v>
      </c>
      <c r="D27" s="81" t="inlineStr">
        <is>
          <t>$/month</t>
        </is>
      </c>
      <c r="E27" s="81" t="inlineStr">
        <is>
          <t>Verified policy limit</t>
        </is>
      </c>
      <c r="F27" s="83" t="inlineStr">
        <is>
          <t>June 2023</t>
        </is>
      </c>
      <c r="G27" s="81" t="inlineStr">
        <is>
          <t>Ministry of Health</t>
        </is>
      </c>
      <c r="H27" s="81" t="inlineStr">
        <is>
          <t>https://sci-bc.ca/wp-content/uploads/2024/05/csil-expense-guidelines-2023.pdf</t>
        </is>
      </c>
      <c r="I27" s="81" t="inlineStr">
        <is>
          <t>2026-09-17</t>
        </is>
      </c>
      <c r="J27" s="81" t="inlineStr">
        <is>
          <t>Up to $200/month for a recruitment facilitator.</t>
        </is>
      </c>
    </row>
    <row r="28" ht="30" customHeight="1">
      <c r="A28" s="80" t="inlineStr">
        <is>
          <t>CSIL expense policy limits</t>
        </is>
      </c>
      <c r="B28" s="81" t="inlineStr">
        <is>
          <t>Recruitment finder’s fee</t>
        </is>
      </c>
      <c r="C28" s="84" t="n">
        <v>500</v>
      </c>
      <c r="D28" s="81" t="inlineStr">
        <is>
          <t>$/employee one-time/year</t>
        </is>
      </c>
      <c r="E28" s="81" t="inlineStr">
        <is>
          <t>Verified policy limit</t>
        </is>
      </c>
      <c r="F28" s="83" t="inlineStr">
        <is>
          <t>June 2023</t>
        </is>
      </c>
      <c r="G28" s="81" t="inlineStr">
        <is>
          <t>Ministry of Health</t>
        </is>
      </c>
      <c r="H28" s="81" t="inlineStr">
        <is>
          <t>https://sci-bc.ca/wp-content/uploads/2024/05/csil-expense-guidelines-2023.pdf</t>
        </is>
      </c>
      <c r="I28" s="81" t="inlineStr">
        <is>
          <t>2026-09-17</t>
        </is>
      </c>
      <c r="J28" s="81" t="inlineStr">
        <is>
          <t>Up to $500 per employee, one-time per year.</t>
        </is>
      </c>
    </row>
    <row r="29" ht="30" customHeight="1">
      <c r="A29" s="80" t="inlineStr">
        <is>
          <t>CSIL expense policy limits</t>
        </is>
      </c>
      <c r="B29" s="81" t="inlineStr">
        <is>
          <t>First aid kit</t>
        </is>
      </c>
      <c r="C29" s="84" t="n">
        <v>50</v>
      </c>
      <c r="D29" s="81" t="inlineStr">
        <is>
          <t>$ one-time</t>
        </is>
      </c>
      <c r="E29" s="81" t="inlineStr">
        <is>
          <t>Verified policy limit</t>
        </is>
      </c>
      <c r="F29" s="83" t="inlineStr">
        <is>
          <t>June 2023</t>
        </is>
      </c>
      <c r="G29" s="81" t="inlineStr">
        <is>
          <t>Ministry of Health</t>
        </is>
      </c>
      <c r="H29" s="81" t="inlineStr">
        <is>
          <t>https://sci-bc.ca/wp-content/uploads/2024/05/csil-expense-guidelines-2023.pdf</t>
        </is>
      </c>
      <c r="I29" s="81" t="inlineStr">
        <is>
          <t>2026-09-17</t>
        </is>
      </c>
      <c r="J29" s="81" t="inlineStr">
        <is>
          <t>$50 one-time.</t>
        </is>
      </c>
    </row>
    <row r="30" ht="30" customHeight="1">
      <c r="A30" s="80" t="inlineStr">
        <is>
          <t>CSIL expense policy limits</t>
        </is>
      </c>
      <c r="B30" s="81" t="inlineStr">
        <is>
          <t>Safety / universal-precautions supplies</t>
        </is>
      </c>
      <c r="C30" s="84" t="n">
        <v>50</v>
      </c>
      <c r="D30" s="81" t="inlineStr">
        <is>
          <t>$/month</t>
        </is>
      </c>
      <c r="E30" s="81" t="inlineStr">
        <is>
          <t>Verified policy limit</t>
        </is>
      </c>
      <c r="F30" s="83" t="inlineStr">
        <is>
          <t>June 2023</t>
        </is>
      </c>
      <c r="G30" s="81" t="inlineStr">
        <is>
          <t>Ministry of Health</t>
        </is>
      </c>
      <c r="H30" s="81" t="inlineStr">
        <is>
          <t>https://sci-bc.ca/wp-content/uploads/2024/05/csil-expense-guidelines-2023.pdf</t>
        </is>
      </c>
      <c r="I30" s="81" t="inlineStr">
        <is>
          <t>2026-09-17</t>
        </is>
      </c>
      <c r="J30" s="81" t="inlineStr">
        <is>
          <t>Up to $50/month. The health authority may approve exceptions.</t>
        </is>
      </c>
    </row>
    <row r="31" ht="30" customHeight="1">
      <c r="A31" s="80" t="inlineStr">
        <is>
          <t>CSIL expense policy limits</t>
        </is>
      </c>
      <c r="B31" s="81" t="inlineStr">
        <is>
          <t>Back support / transfer belts</t>
        </is>
      </c>
      <c r="C31" s="84" t="n">
        <v>50</v>
      </c>
      <c r="D31" s="81" t="inlineStr">
        <is>
          <t>$/employee (range $30–$50)</t>
        </is>
      </c>
      <c r="E31" s="81" t="inlineStr">
        <is>
          <t>Verified policy limit</t>
        </is>
      </c>
      <c r="F31" s="83" t="inlineStr">
        <is>
          <t>June 2023</t>
        </is>
      </c>
      <c r="G31" s="81" t="inlineStr">
        <is>
          <t>Ministry of Health</t>
        </is>
      </c>
      <c r="H31" s="81" t="inlineStr">
        <is>
          <t>https://sci-bc.ca/wp-content/uploads/2024/05/csil-expense-guidelines-2023.pdf</t>
        </is>
      </c>
      <c r="I31" s="81" t="inlineStr">
        <is>
          <t>2026-09-17</t>
        </is>
      </c>
      <c r="J31" s="81" t="inlineStr">
        <is>
          <t>Range $30–$50 per employee as required.</t>
        </is>
      </c>
    </row>
    <row r="32" ht="30" customHeight="1">
      <c r="A32" s="80" t="inlineStr">
        <is>
          <t>CSIL expense policy limits</t>
        </is>
      </c>
      <c r="B32" s="81" t="inlineStr">
        <is>
          <t>Food for live-in employees</t>
        </is>
      </c>
      <c r="C32" s="84" t="n">
        <v>360</v>
      </c>
      <c r="D32" s="81" t="inlineStr">
        <is>
          <t>$/month taxable benefit</t>
        </is>
      </c>
      <c r="E32" s="81" t="inlineStr">
        <is>
          <t>Verified policy limit</t>
        </is>
      </c>
      <c r="F32" s="83" t="inlineStr">
        <is>
          <t>June 2023</t>
        </is>
      </c>
      <c r="G32" s="81" t="inlineStr">
        <is>
          <t>Ministry of Health</t>
        </is>
      </c>
      <c r="H32" s="81" t="inlineStr">
        <is>
          <t>https://sci-bc.ca/wp-content/uploads/2024/05/csil-expense-guidelines-2023.pdf</t>
        </is>
      </c>
      <c r="I32" s="81" t="inlineStr">
        <is>
          <t>2026-09-17</t>
        </is>
      </c>
      <c r="J32" s="81" t="inlineStr">
        <is>
          <t>Up to $360/month for live-in employees only.</t>
        </is>
      </c>
    </row>
    <row r="33" ht="30" customHeight="1">
      <c r="A33" s="80" t="inlineStr">
        <is>
          <t>CSIL expense policy limits</t>
        </is>
      </c>
      <c r="B33" s="81" t="inlineStr">
        <is>
          <t>Education / professional development per new employee</t>
        </is>
      </c>
      <c r="C33" s="84" t="n">
        <v>300</v>
      </c>
      <c r="D33" s="81" t="inlineStr">
        <is>
          <t>$/new employee</t>
        </is>
      </c>
      <c r="E33" s="81" t="inlineStr">
        <is>
          <t>Verified policy limit</t>
        </is>
      </c>
      <c r="F33" s="83" t="inlineStr">
        <is>
          <t>June 2023</t>
        </is>
      </c>
      <c r="G33" s="81" t="inlineStr">
        <is>
          <t>Ministry of Health</t>
        </is>
      </c>
      <c r="H33" s="81" t="inlineStr">
        <is>
          <t>https://sci-bc.ca/wp-content/uploads/2024/05/csil-expense-guidelines-2023.pdf</t>
        </is>
      </c>
      <c r="I33" s="81" t="inlineStr">
        <is>
          <t>2026-09-17</t>
        </is>
      </c>
      <c r="J33" s="81" t="inlineStr">
        <is>
          <t>Up to $300 per new employee, or in consultation with the health authority. Not a monthly cap.</t>
        </is>
      </c>
    </row>
    <row r="34" ht="30" customHeight="1">
      <c r="A34" s="80" t="inlineStr">
        <is>
          <t>CSIL expense policy limits</t>
        </is>
      </c>
      <c r="B34" s="81" t="inlineStr">
        <is>
          <t>Shift premium for extraordinary circumstances</t>
        </is>
      </c>
      <c r="C34" s="84" t="n">
        <v>100</v>
      </c>
      <c r="D34" s="81" t="inlineStr">
        <is>
          <t>$/month ($1/hour)</t>
        </is>
      </c>
      <c r="E34" s="81" t="inlineStr">
        <is>
          <t>Verified policy limit</t>
        </is>
      </c>
      <c r="F34" s="83" t="inlineStr">
        <is>
          <t>June 2023</t>
        </is>
      </c>
      <c r="G34" s="81" t="inlineStr">
        <is>
          <t>Ministry of Health</t>
        </is>
      </c>
      <c r="H34" s="81" t="inlineStr">
        <is>
          <t>https://sci-bc.ca/wp-content/uploads/2024/05/csil-expense-guidelines-2023.pdf</t>
        </is>
      </c>
      <c r="I34" s="81" t="inlineStr">
        <is>
          <t>2026-09-17</t>
        </is>
      </c>
      <c r="J34" s="81" t="inlineStr">
        <is>
          <t>$1.00 per hour on a particular day, maximum $100 per month.</t>
        </is>
      </c>
    </row>
    <row r="35" ht="30" customHeight="1">
      <c r="A35" s="80" t="inlineStr">
        <is>
          <t>CSIL expense policy limits</t>
        </is>
      </c>
      <c r="B35" s="81" t="inlineStr">
        <is>
          <t>CSG name reservation</t>
        </is>
      </c>
      <c r="C35" s="84" t="n">
        <v>30</v>
      </c>
      <c r="D35" s="81" t="inlineStr">
        <is>
          <t>$ one-time</t>
        </is>
      </c>
      <c r="E35" s="81" t="inlineStr">
        <is>
          <t>Verified policy limit</t>
        </is>
      </c>
      <c r="F35" s="83" t="inlineStr">
        <is>
          <t>June 2023</t>
        </is>
      </c>
      <c r="G35" s="81" t="inlineStr">
        <is>
          <t>Ministry of Health</t>
        </is>
      </c>
      <c r="H35" s="81" t="inlineStr">
        <is>
          <t>https://sci-bc.ca/wp-content/uploads/2024/05/csil-expense-guidelines-2023.pdf</t>
        </is>
      </c>
      <c r="I35" s="81" t="inlineStr">
        <is>
          <t>2026-09-17</t>
        </is>
      </c>
      <c r="J35" s="81" t="inlineStr">
        <is>
          <t>$30 one-time.</t>
        </is>
      </c>
    </row>
    <row r="36" ht="30" customHeight="1">
      <c r="A36" s="80" t="inlineStr">
        <is>
          <t>CSIL expense policy limits</t>
        </is>
      </c>
      <c r="B36" s="81" t="inlineStr">
        <is>
          <t>CSG society incorporation</t>
        </is>
      </c>
      <c r="C36" s="84" t="n">
        <v>135</v>
      </c>
      <c r="D36" s="81" t="inlineStr">
        <is>
          <t>$ one-time</t>
        </is>
      </c>
      <c r="E36" s="81" t="inlineStr">
        <is>
          <t>Verified policy limit</t>
        </is>
      </c>
      <c r="F36" s="83" t="inlineStr">
        <is>
          <t>June 2023</t>
        </is>
      </c>
      <c r="G36" s="81" t="inlineStr">
        <is>
          <t>Ministry of Health</t>
        </is>
      </c>
      <c r="H36" s="81" t="inlineStr">
        <is>
          <t>https://sci-bc.ca/wp-content/uploads/2024/05/csil-expense-guidelines-2023.pdf</t>
        </is>
      </c>
      <c r="I36" s="81" t="inlineStr">
        <is>
          <t>2026-09-17</t>
        </is>
      </c>
      <c r="J36" s="81" t="inlineStr">
        <is>
          <t>$135 one-time.</t>
        </is>
      </c>
    </row>
    <row r="37" ht="30" customHeight="1">
      <c r="A37" s="80" t="inlineStr">
        <is>
          <t>CSIL expense policy limits</t>
        </is>
      </c>
      <c r="B37" s="81" t="inlineStr">
        <is>
          <t>CSG annual reporting fee</t>
        </is>
      </c>
      <c r="C37" s="84" t="n">
        <v>40</v>
      </c>
      <c r="D37" s="81" t="inlineStr">
        <is>
          <t>$/year</t>
        </is>
      </c>
      <c r="E37" s="81" t="inlineStr">
        <is>
          <t>Verified policy limit</t>
        </is>
      </c>
      <c r="F37" s="83" t="inlineStr">
        <is>
          <t>June 2023</t>
        </is>
      </c>
      <c r="G37" s="81" t="inlineStr">
        <is>
          <t>Ministry of Health</t>
        </is>
      </c>
      <c r="H37" s="81" t="inlineStr">
        <is>
          <t>https://sci-bc.ca/wp-content/uploads/2024/05/csil-expense-guidelines-2023.pdf</t>
        </is>
      </c>
      <c r="I37" s="81" t="inlineStr">
        <is>
          <t>2026-09-17</t>
        </is>
      </c>
      <c r="J37" s="81" t="inlineStr">
        <is>
          <t>$40 per year.</t>
        </is>
      </c>
    </row>
    <row r="38" ht="30" customHeight="1">
      <c r="A38" s="80" t="inlineStr">
        <is>
          <t>CSIL expense policy limits</t>
        </is>
      </c>
      <c r="B38" s="81" t="inlineStr">
        <is>
          <t>CSG director or address change</t>
        </is>
      </c>
      <c r="C38" s="84" t="n">
        <v>15</v>
      </c>
      <c r="D38" s="81" t="inlineStr">
        <is>
          <t>$/transaction</t>
        </is>
      </c>
      <c r="E38" s="81" t="inlineStr">
        <is>
          <t>Verified policy limit</t>
        </is>
      </c>
      <c r="F38" s="83" t="inlineStr">
        <is>
          <t>June 2023</t>
        </is>
      </c>
      <c r="G38" s="81" t="inlineStr">
        <is>
          <t>Ministry of Health</t>
        </is>
      </c>
      <c r="H38" s="81" t="inlineStr">
        <is>
          <t>https://sci-bc.ca/wp-content/uploads/2024/05/csil-expense-guidelines-2023.pdf</t>
        </is>
      </c>
      <c r="I38" s="81" t="inlineStr">
        <is>
          <t>2026-09-17</t>
        </is>
      </c>
      <c r="J38" s="81" t="inlineStr">
        <is>
          <t>$15 per transaction.</t>
        </is>
      </c>
    </row>
    <row r="39" ht="30" customHeight="1">
      <c r="A39" s="80" t="inlineStr">
        <is>
          <t>CSIL expense policy limits</t>
        </is>
      </c>
      <c r="B39" s="81" t="inlineStr">
        <is>
          <t>Nidus representation agreement set-up</t>
        </is>
      </c>
      <c r="C39" s="84" t="n">
        <v>50</v>
      </c>
      <c r="D39" s="81" t="inlineStr">
        <is>
          <t>$ one-time</t>
        </is>
      </c>
      <c r="E39" s="81" t="inlineStr">
        <is>
          <t>Verified policy limit</t>
        </is>
      </c>
      <c r="F39" s="83" t="inlineStr">
        <is>
          <t>June 2023</t>
        </is>
      </c>
      <c r="G39" s="81" t="inlineStr">
        <is>
          <t>Ministry of Health</t>
        </is>
      </c>
      <c r="H39" s="81" t="inlineStr">
        <is>
          <t>https://sci-bc.ca/wp-content/uploads/2024/05/csil-expense-guidelines-2023.pdf</t>
        </is>
      </c>
      <c r="I39" s="81" t="inlineStr">
        <is>
          <t>2026-09-17</t>
        </is>
      </c>
      <c r="J39" s="81" t="inlineStr">
        <is>
          <t>$50 one-time Nidus set-up fee.</t>
        </is>
      </c>
    </row>
    <row r="40" ht="38" customHeight="1">
      <c r="A40" s="80" t="inlineStr">
        <is>
          <t>Allowable items without fixed limits</t>
        </is>
      </c>
      <c r="B40" s="81" t="inlineStr">
        <is>
          <t>Wages and mandatory employer costs</t>
        </is>
      </c>
      <c r="C40" s="81" t="n"/>
      <c r="D40" s="81" t="inlineStr">
        <is>
          <t>no fixed cap</t>
        </is>
      </c>
      <c r="E40" s="81" t="inlineStr">
        <is>
          <t>Verified allowable expense — no fixed limit identified</t>
        </is>
      </c>
      <c r="F40" s="83" t="inlineStr">
        <is>
          <t>June 2023</t>
        </is>
      </c>
      <c r="G40" s="81" t="inlineStr">
        <is>
          <t>Ministry of Health</t>
        </is>
      </c>
      <c r="H40" s="81" t="inlineStr">
        <is>
          <t>https://sci-bc.ca/wp-content/uploads/2024/05/csil-expense-guidelines-2023.pdf</t>
        </is>
      </c>
      <c r="I40" s="81" t="inlineStr">
        <is>
          <t>2026-09-17</t>
        </is>
      </c>
      <c r="J40" s="81" t="inlineStr">
        <is>
          <t>Allowable. No single Ministry dollar cap. This planner does not recommend what any person should be paid.</t>
        </is>
      </c>
    </row>
    <row r="41" ht="30" customHeight="1">
      <c r="A41" s="80" t="inlineStr">
        <is>
          <t>Allowable items without fixed limits</t>
        </is>
      </c>
      <c r="B41" s="81" t="inlineStr">
        <is>
          <t>Extended medical and dental benefits</t>
        </is>
      </c>
      <c r="C41" s="81" t="n"/>
      <c r="D41" s="81" t="inlineStr">
        <is>
          <t>premium</t>
        </is>
      </c>
      <c r="E41" s="81" t="inlineStr">
        <is>
          <t>Verified allowable expense — no fixed limit identified</t>
        </is>
      </c>
      <c r="F41" s="83" t="inlineStr">
        <is>
          <t>June 2023</t>
        </is>
      </c>
      <c r="G41" s="81" t="inlineStr">
        <is>
          <t>Ministry of Health</t>
        </is>
      </c>
      <c r="H41" s="81" t="inlineStr">
        <is>
          <t>https://sci-bc.ca/wp-content/uploads/2024/05/csil-expense-guidelines-2023.pdf</t>
        </is>
      </c>
      <c r="I41" s="81" t="inlineStr">
        <is>
          <t>2026-09-17</t>
        </is>
      </c>
      <c r="J41" s="81" t="inlineStr">
        <is>
          <t>Allowable optional premium. No fixed Ministry dollar limit identified.</t>
        </is>
      </c>
    </row>
    <row r="42" ht="30" customHeight="1">
      <c r="A42" s="80" t="inlineStr">
        <is>
          <t>Allowable items without fixed limits</t>
        </is>
      </c>
      <c r="B42" s="81" t="inlineStr">
        <is>
          <t>Severance</t>
        </is>
      </c>
      <c r="C42" s="81" t="n"/>
      <c r="D42" s="81" t="inlineStr">
        <is>
          <t>ESA / surplus funds</t>
        </is>
      </c>
      <c r="E42" s="81" t="inlineStr">
        <is>
          <t>Verified allowable expense — no fixed limit identified</t>
        </is>
      </c>
      <c r="F42" s="83" t="inlineStr">
        <is>
          <t>June 2023</t>
        </is>
      </c>
      <c r="G42" s="81" t="inlineStr">
        <is>
          <t>Ministry of Health</t>
        </is>
      </c>
      <c r="H42" s="81" t="inlineStr">
        <is>
          <t>https://sci-bc.ca/wp-content/uploads/2024/05/csil-expense-guidelines-2023.pdf</t>
        </is>
      </c>
      <c r="I42" s="81" t="inlineStr">
        <is>
          <t>2026-09-17</t>
        </is>
      </c>
      <c r="J42" s="81" t="inlineStr">
        <is>
          <t>ESA severance is an allowable expense from the one-month surplus. The health authority may fund a difference in limited cases.</t>
        </is>
      </c>
    </row>
    <row r="43" ht="30" customHeight="1">
      <c r="A43" s="80" t="inlineStr">
        <is>
          <t>Allowable items without fixed limits</t>
        </is>
      </c>
      <c r="B43" s="81" t="inlineStr">
        <is>
          <t>Hospital one-on-one support</t>
        </is>
      </c>
      <c r="C43" s="81" t="n"/>
      <c r="D43" s="81" t="inlineStr">
        <is>
          <t>up to one month</t>
        </is>
      </c>
      <c r="E43" s="81" t="inlineStr">
        <is>
          <t>Verified allowable expense — no fixed limit identified</t>
        </is>
      </c>
      <c r="F43" s="83" t="inlineStr">
        <is>
          <t>June 2023</t>
        </is>
      </c>
      <c r="G43" s="81" t="inlineStr">
        <is>
          <t>Ministry of Health</t>
        </is>
      </c>
      <c r="H43" s="81" t="inlineStr">
        <is>
          <t>https://sci-bc.ca/wp-content/uploads/2024/05/csil-expense-guidelines-2023.pdf</t>
        </is>
      </c>
      <c r="I43" s="81" t="inlineStr">
        <is>
          <t>2026-09-17</t>
        </is>
      </c>
      <c r="J43" s="81" t="inlineStr">
        <is>
          <t>Allowable with prior health-authority approval for up to one month. No fixed dollar limit identified.</t>
        </is>
      </c>
    </row>
    <row r="44" ht="38" customHeight="1">
      <c r="A44" s="80" t="inlineStr">
        <is>
          <t>Non-allowable items</t>
        </is>
      </c>
      <c r="B44" s="81" t="inlineStr">
        <is>
          <t>Non-allowable expenses (key items — not exhaustive)</t>
        </is>
      </c>
      <c r="C44" s="81" t="inlineStr">
        <is>
          <t>not allowed</t>
        </is>
      </c>
      <c r="D44" s="81" t="inlineStr">
        <is>
          <t>see Notes</t>
        </is>
      </c>
      <c r="E44" s="81" t="inlineStr">
        <is>
          <t>Verified policy limit</t>
        </is>
      </c>
      <c r="F44" s="83" t="inlineStr">
        <is>
          <t>June 2023</t>
        </is>
      </c>
      <c r="G44" s="81" t="inlineStr">
        <is>
          <t>Ministry of Health</t>
        </is>
      </c>
      <c r="H44" s="81" t="inlineStr">
        <is>
          <t>https://sci-bc.ca/wp-content/uploads/2024/05/csil-expense-guidelines-2023.pdf</t>
        </is>
      </c>
      <c r="I44" s="81" t="inlineStr">
        <is>
          <t>2026-09-17</t>
        </is>
      </c>
      <c r="J44" s="81" t="inlineStr">
        <is>
          <t>Ministry list includes: homeowner or tenant insurance; automobile insurance; supplies and equipment not on the allowable list; food costs for a caregiver that is not live-in; spring cleaning-type expenses such as carpet cleaning; medical supplies; transportation costs for worker; paying a worker before they have earned money; medical equipment and/or repairs to equipment; computer, computer repairs; ramps, lifts, home renovations; late payment to CRA or WorkSafeBC, rush courier, NSF cheques; bathroom products (soap, facial tissue, toilet paper, moisturizing cream); annual general meeting supplies and refreshments. Confirm the June 2023 PDF before treating an edge case as allowed.</t>
        </is>
      </c>
    </row>
    <row r="46" ht="48" customHeight="1">
      <c r="A46" s="88" t="inlineStr">
        <is>
          <t>Calculations reads the blue Value cells in C4:C16. Expenses policy guidance reads the blue dollar limits below those rows. The one-month surplus ceiling (C20) is locked policy: the workbook ceiling is one month of funding, not this cell times a spend figure. PDF https://sci-bc.ca/wp-content/uploads/2024/05/csil-expense-guidelines-2023.pdf.</t>
        </is>
      </c>
    </row>
  </sheetData>
  <sheetProtection selectLockedCells="0" selectUnlockedCells="0" sheet="1" objects="0" insertRows="1" insertHyperlinks="1" autoFilter="0" scenarios="0" formatColumns="1" deleteColumns="1" insertColumns="1" pivotTables="1" deleteRows="1" formatCells="1" formatRows="1" sort="0"/>
  <autoFilter ref="A3:J44"/>
  <mergeCells count="3">
    <mergeCell ref="A1:J1"/>
    <mergeCell ref="A46:J46"/>
    <mergeCell ref="A2:J2"/>
  </mergeCells>
  <dataValidations count="1">
    <dataValidation sqref="E4:E44" showDropDown="0" showInputMessage="0" showErrorMessage="1" allowBlank="1" errorTitle="Invalid value" error="Choose a value from the list." type="list">
      <formula1>"Verified policy limit,Verified allowable expense — no fixed limit identified,Planning assumption,Advisor input,To verify"</formula1>
    </dataValidation>
  </dataValidations>
  <pageMargins left="0.4" right="0.4" top="1" bottom="1" header="0.5" footer="0.5"/>
  <pageSetup orientation="landscape" paperSize="3" fitToHeight="0" fitToWidth="1"/>
  <headerFooter>
    <oddHeader>&amp;LCare Team Budget Planner — Parameters</oddHeader>
    <oddFooter>&amp;RBlue values feed the planner</oddFooter>
    <evenHeader/>
    <evenFooter/>
    <firstHeader/>
    <firstFooter/>
  </headerFooter>
</worksheet>
</file>

<file path=xl/worksheets/sheet6.xml><?xml version="1.0" encoding="utf-8"?>
<worksheet xmlns="http://schemas.openxmlformats.org/spreadsheetml/2006/main">
  <sheetPr>
    <tabColor rgb="00548235"/>
    <outlinePr summaryBelow="1" summaryRight="1"/>
    <pageSetUpPr fitToPage="1"/>
  </sheetPr>
  <dimension ref="A1:B13"/>
  <sheetViews>
    <sheetView showGridLines="0" zoomScale="110" zoomScaleNormal="110" workbookViewId="0">
      <pane ySplit="4" topLeftCell="A5" activePane="bottomLeft" state="frozen"/>
      <selection pane="bottomLeft" activeCell="A1" sqref="A1"/>
    </sheetView>
  </sheetViews>
  <sheetFormatPr baseColWidth="8" defaultRowHeight="15"/>
  <cols>
    <col width="32" customWidth="1" min="1" max="1"/>
    <col width="108" customWidth="1" min="2" max="2"/>
  </cols>
  <sheetData>
    <row r="1">
      <c r="A1" s="89" t="inlineStr">
        <is>
          <t>Guide</t>
        </is>
      </c>
    </row>
    <row r="2" ht="42" customHeight="1">
      <c r="A2" s="79" t="inlineStr">
        <is>
          <t>Care Team Budget Planner v1.2 has one Current Plan and one Proposed Plan. Funding, Care Team, and Expenses are the editable domains. Client Review is read-only. The calculation contract remains v1.0.0.</t>
        </is>
      </c>
    </row>
    <row r="4">
      <c r="A4" s="43" t="inlineStr">
        <is>
          <t>Task</t>
        </is>
      </c>
      <c r="B4" s="43" t="inlineStr">
        <is>
          <t>What to do or what it means</t>
        </is>
      </c>
    </row>
    <row r="5" ht="106" customHeight="1">
      <c r="A5" s="90" t="inlineStr">
        <is>
          <t>Set up Funding</t>
        </is>
      </c>
      <c r="B5" s="91" t="inlineStr">
        <is>
          <t>Enter Current funding rate and funded hours. Proposed values are optional: blank inherits Current and an entered zero remains zero. Funding stays rate × funded hours. Planned care hours are independent and may be above funded hours. Enter the opening reserve, reserve target, desired monthly reserve growth, client context, and complete the expense/reserve review.</t>
        </is>
      </c>
    </row>
    <row r="6" ht="114" customHeight="1">
      <c r="A6" s="90" t="inlineStr">
        <is>
          <t>Build the Care Team</t>
        </is>
      </c>
      <c r="B6" s="91" t="inlineStr">
        <is>
          <t>Use one of the 15 rows for each worker and shift/component. Repeat a worker name exactly for another component or rate. Statuses are Scheduled, Casual, and Inactive. Casual can retain a rate and vacation percentage with zero recurring paid units and care hours. A Proposed-only row needs worker/shift identity, a Proposed status, and the required Proposed numeric fields. No button or macro is required.</t>
        </is>
      </c>
    </row>
    <row r="7" ht="98" customHeight="1">
      <c r="A7" s="90" t="inlineStr">
        <is>
          <t>Edit the Proposed Plan</t>
        </is>
      </c>
      <c r="B7" s="91" t="inlineStr">
        <is>
          <t>Proposed Care Team and Expense cells are blank by default and inherit Current. Enter 0 to set a numeric item to zero. Choose Inactive to exclude a component. Entering the same value as Current is still an explicit Proposed entry. All three domain sheets feed the same Proposed Plan and the dashboard on every primary sheet.</t>
        </is>
      </c>
    </row>
    <row r="8" ht="110" customHeight="1">
      <c r="A8" s="90" t="inlineStr">
        <is>
          <t>Read the results</t>
        </is>
      </c>
      <c r="B8" s="91" t="inlineStr">
        <is>
          <t>Operating balance is monthly funding minus employment cost and operating expenses. Operating reserve is the accumulated balance. Desired reserve growth is a separate goal, not an operating expense. The 12-month reserve is a constant-assumption planning estimate. Annualized worker pay is recurring base pay only and uses the same 365/7 annualization factor as the calculation engine.</t>
        </is>
      </c>
    </row>
    <row r="9" ht="83" customHeight="1">
      <c r="A9" s="90" t="inlineStr">
        <is>
          <t>Check policy guidance</t>
        </is>
      </c>
      <c r="B9" s="91" t="inlineStr">
        <is>
          <t>Expenses shows the effective Proposed amount, the change, and policy status text. Parameters is the maintained source for verified limits, periods, sources, and evidence. An unknown or approval-dependent item is not presented as a verified limit.</t>
        </is>
      </c>
    </row>
    <row r="10" ht="100" customHeight="1">
      <c r="A10" s="90" t="inlineStr">
        <is>
          <t>Reset the proposal</t>
        </is>
      </c>
      <c r="B10" s="91" t="inlineStr">
        <is>
          <t>Start from a fresh copy of the matching baseline-start workbook, or clear contents only in the named ranges: Proposal_Name (I29), Proposal_Date (I30), Proposed_Funding_Rate (I12), Proposed_Funded_Hours (I13), Proposed_Team (J11:N25), Proposed_Expenses (E11:E20). Do not delete rows, clear formatting, or overwrite calculated cells.</t>
        </is>
      </c>
    </row>
    <row r="11" ht="142" customHeight="1">
      <c r="A11" s="90" t="inlineStr">
        <is>
          <t>Preserve and adopt</t>
        </is>
      </c>
      <c r="B11" s="91" t="inlineStr">
        <is>
          <t>Preserve an agreed proposal as a dated copy of the whole workbook. Adoption is deliberate: copy the named ranges Effective_Proposed_Funding, Effective_Proposed_Team, and Effective_Proposed_Expenses as values into a separate clean baseline-start copy. The effective Care Team source is a locked table on hidden Calculations; unhide it only for the transfer, then hide it again. Never paste formulas. After transfer, clear the Proposed input ranges and reconcile the new Current Plan to the preserved Proposed Plan. There is no fake Adopt button.</t>
        </is>
      </c>
    </row>
    <row r="12" ht="76" customHeight="1">
      <c r="A12" s="90" t="inlineStr">
        <is>
          <t>Migration and capacity</t>
        </is>
      </c>
      <c r="B12" s="91" t="inlineStr">
        <is>
          <t>v1.2 exposes 15 Care Team rows. Migration must stop and report every active legacy row that does not fit; it must never silently truncate. Resolve the overflow before adopting or relying on the migrated workbook.</t>
        </is>
      </c>
    </row>
    <row r="13" ht="94" customHeight="1">
      <c r="A13" s="90" t="inlineStr">
        <is>
          <t>Compatibility and privacy</t>
        </is>
      </c>
      <c r="B13" s="91" t="inlineStr">
        <is>
          <t>The canonical artifact is .xlsx with no VBA, macros, Apps Script, Power Query, or external workbook links. Excel protection is without a password; Google Sheets may require protection to be re-applied after import. Use synthetic files for testing. Real employer data stays in private copies outside Git.</t>
        </is>
      </c>
    </row>
  </sheetData>
  <sheetProtection selectLockedCells="0" selectUnlockedCells="0" sheet="1" objects="0" insertRows="1" insertHyperlinks="1" autoFilter="0" scenarios="0" formatColumns="1" deleteColumns="1" insertColumns="1" pivotTables="1" deleteRows="1" formatCells="1" formatRows="1" sort="0"/>
  <mergeCells count="2">
    <mergeCell ref="A2:B2"/>
    <mergeCell ref="A1:B1"/>
  </mergeCells>
  <pageMargins left="0.75" right="0.75" top="1" bottom="1" header="0.5" footer="0.5"/>
  <pageSetup orientation="portrait" paperSize="1" fitToHeight="0" fitToWidth="1"/>
  <headerFooter>
    <oddHeader/>
    <oddFooter>&amp;Lv1.2 unreleased preview · v1.0.0 calculation contract · not a release</oddFooter>
    <evenHeader/>
    <evenFooter/>
    <firstHeader/>
    <firstFooter/>
  </headerFooter>
</worksheet>
</file>

<file path=xl/worksheets/sheet7.xml><?xml version="1.0" encoding="utf-8"?>
<worksheet xmlns="http://schemas.openxmlformats.org/spreadsheetml/2006/main">
  <sheetPr>
    <tabColor rgb="00BFBFBF"/>
    <outlinePr summaryBelow="1" summaryRight="1"/>
    <pageSetUpPr/>
  </sheetPr>
  <dimension ref="A1:AD106"/>
  <sheetViews>
    <sheetView zoomScale="110" zoomScaleNormal="110" workbookViewId="0">
      <pane ySplit="4" topLeftCell="A5" activePane="bottomLeft" state="frozen"/>
      <selection pane="bottomLeft" activeCell="A1" sqref="A1"/>
    </sheetView>
  </sheetViews>
  <sheetFormatPr baseColWidth="8" defaultRowHeight="15"/>
  <cols>
    <col width="62" customWidth="1" min="1" max="1"/>
    <col width="16" customWidth="1" min="2" max="2"/>
    <col width="16" customWidth="1" min="3" max="3"/>
    <col width="16" customWidth="1" min="4" max="4"/>
    <col width="16" customWidth="1" min="5" max="5"/>
    <col width="16" customWidth="1" min="6" max="6"/>
    <col width="16" customWidth="1" min="7" max="7"/>
    <col width="16" customWidth="1" min="8" max="8"/>
    <col width="16" customWidth="1" min="9" max="9"/>
    <col width="16" customWidth="1" min="10" max="10"/>
    <col width="16" customWidth="1" min="11" max="11"/>
    <col width="16" customWidth="1" min="12" max="12"/>
    <col width="16" customWidth="1" min="13" max="13"/>
    <col width="16" customWidth="1" min="14" max="14"/>
    <col width="16" customWidth="1" min="15" max="15"/>
    <col width="16" customWidth="1" min="16" max="16"/>
    <col width="16" customWidth="1" min="17" max="17"/>
    <col width="16" customWidth="1" min="18" max="18"/>
    <col width="16" customWidth="1" min="19" max="19"/>
    <col width="16" customWidth="1" min="20" max="20"/>
    <col width="16" customWidth="1" min="21" max="21"/>
    <col width="16" customWidth="1" min="22" max="22"/>
    <col width="16" customWidth="1" min="23" max="23"/>
    <col width="16" customWidth="1" min="24" max="24"/>
    <col width="16" customWidth="1" min="25" max="25"/>
    <col width="16" customWidth="1" min="26" max="26"/>
    <col width="16" customWidth="1" min="27" max="27"/>
    <col width="16" customWidth="1" min="28" max="28"/>
    <col width="16" customWidth="1" min="29" max="29"/>
    <col width="16" customWidth="1" min="30" max="30"/>
  </cols>
  <sheetData>
    <row r="1">
      <c r="A1" s="92" t="inlineStr">
        <is>
          <t>Calculations — audit rollup (hidden; not part of the navigator workflow)</t>
        </is>
      </c>
    </row>
    <row r="2" ht="30" customHeight="1">
      <c r="A2" s="88" t="inlineStr">
        <is>
          <t>The v1.0 worker-aware payroll, affordability, and reserve equations are reused unchanged. v1.2 only changes where Current and Proposed inputs enter the rollup.</t>
        </is>
      </c>
    </row>
    <row r="4">
      <c r="A4" s="93" t="inlineStr">
        <is>
          <t>CONSTANTS</t>
        </is>
      </c>
      <c r="B4" t="inlineStr">
        <is>
          <t>Current</t>
        </is>
      </c>
      <c r="C4" t="inlineStr">
        <is>
          <t>Proposed</t>
        </is>
      </c>
    </row>
    <row r="5">
      <c r="A5" s="25" t="inlineStr">
        <is>
          <t>Weeks per month (365/12/7)</t>
        </is>
      </c>
      <c r="B5" s="94">
        <f>365/12/7</f>
        <v/>
      </c>
    </row>
    <row r="6">
      <c r="A6" s="25" t="inlineStr">
        <is>
          <t>Weeks per year (365/7)</t>
        </is>
      </c>
      <c r="B6" s="94">
        <f>365/7</f>
        <v/>
      </c>
    </row>
    <row r="7">
      <c r="A7" s="25" t="inlineStr">
        <is>
          <t>Funding rate</t>
        </is>
      </c>
      <c r="B7" s="34">
        <f>'Funding'!C12</f>
        <v/>
      </c>
      <c r="C7" s="34">
        <f>IF('Funding'!I12="",B7,'Funding'!I12)</f>
        <v/>
      </c>
    </row>
    <row r="8">
      <c r="A8" s="25" t="inlineStr">
        <is>
          <t>Funded hours / month</t>
        </is>
      </c>
      <c r="B8" s="94">
        <f>'Funding'!C13</f>
        <v/>
      </c>
      <c r="C8" s="94">
        <f>IF('Funding'!I13="",B8,'Funding'!I13)</f>
        <v/>
      </c>
    </row>
    <row r="9">
      <c r="A9" s="25" t="inlineStr">
        <is>
          <t>Client contribution</t>
        </is>
      </c>
      <c r="B9" s="34">
        <f>'Funding'!C16</f>
        <v/>
      </c>
    </row>
    <row r="10">
      <c r="A10" s="25" t="inlineStr">
        <is>
          <t>People counted (Current or Proposed)</t>
        </is>
      </c>
      <c r="B10" s="94">
        <f>COUNT(F70:F84)</f>
        <v/>
      </c>
    </row>
    <row r="11">
      <c r="A11" s="25" t="inlineStr">
        <is>
          <t>WorkSafeBC rate</t>
        </is>
      </c>
      <c r="B11" s="95">
        <f>'Parameters'!C16</f>
        <v/>
      </c>
    </row>
    <row r="12">
      <c r="A12" s="25" t="inlineStr">
        <is>
          <t>CPP employer rate</t>
        </is>
      </c>
      <c r="B12" s="95">
        <f>'Parameters'!C4</f>
        <v/>
      </c>
    </row>
    <row r="13">
      <c r="A13" s="25" t="inlineStr">
        <is>
          <t>CPP exemption / person</t>
        </is>
      </c>
      <c r="B13" s="34">
        <f>'Parameters'!C5</f>
        <v/>
      </c>
    </row>
    <row r="14">
      <c r="A14" s="25" t="inlineStr">
        <is>
          <t>CPP YMPE</t>
        </is>
      </c>
      <c r="B14" s="34">
        <f>'Parameters'!C6</f>
        <v/>
      </c>
    </row>
    <row r="15">
      <c r="A15" s="25" t="inlineStr">
        <is>
          <t>CPP2 rate</t>
        </is>
      </c>
      <c r="B15" s="95">
        <f>'Parameters'!C7</f>
        <v/>
      </c>
    </row>
    <row r="16">
      <c r="A16" s="25" t="inlineStr">
        <is>
          <t>CPP YAMPE</t>
        </is>
      </c>
      <c r="B16" s="34">
        <f>'Parameters'!C8</f>
        <v/>
      </c>
    </row>
    <row r="17">
      <c r="A17" s="25" t="inlineStr">
        <is>
          <t>EI employer rate</t>
        </is>
      </c>
      <c r="B17" s="95">
        <f>'Parameters'!C9</f>
        <v/>
      </c>
    </row>
    <row r="18">
      <c r="A18" s="25" t="inlineStr">
        <is>
          <t>EI maximum insurable earnings</t>
        </is>
      </c>
      <c r="B18" s="34">
        <f>'Parameters'!C10</f>
        <v/>
      </c>
    </row>
    <row r="19">
      <c r="A19" s="25" t="inlineStr">
        <is>
          <t>Vacation default</t>
        </is>
      </c>
      <c r="B19" s="95">
        <f>'Parameters'!C11</f>
        <v/>
      </c>
    </row>
    <row r="20">
      <c r="A20" s="25" t="inlineStr">
        <is>
          <t>Sick allowance rate</t>
        </is>
      </c>
      <c r="B20" s="95">
        <f>'Parameters'!C12</f>
        <v/>
      </c>
    </row>
    <row r="21">
      <c r="A21" s="25" t="inlineStr">
        <is>
          <t>Statutory days</t>
        </is>
      </c>
      <c r="B21" s="94">
        <f>'Parameters'!C13</f>
        <v/>
      </c>
    </row>
    <row r="22">
      <c r="A22" s="25" t="inlineStr">
        <is>
          <t>Statutory multiplier</t>
        </is>
      </c>
      <c r="B22" s="94">
        <f>'Parameters'!C14</f>
        <v/>
      </c>
    </row>
    <row r="23">
      <c r="A23" s="25" t="inlineStr">
        <is>
          <t>Monthly funding</t>
        </is>
      </c>
      <c r="B23" s="34">
        <f>B7*B8</f>
        <v/>
      </c>
      <c r="C23" s="34">
        <f>C7*C8</f>
        <v/>
      </c>
    </row>
    <row r="24">
      <c r="A24" s="25" t="inlineStr">
        <is>
          <t>Monthly funding used for budget</t>
        </is>
      </c>
      <c r="B24" s="34">
        <f>B23</f>
        <v/>
      </c>
      <c r="C24" s="34">
        <f>C23</f>
        <v/>
      </c>
    </row>
    <row r="25">
      <c r="A25" s="25" t="inlineStr">
        <is>
          <t>Desired monthly reserve growth</t>
        </is>
      </c>
      <c r="B25" s="34">
        <f>'Funding'!C22</f>
        <v/>
      </c>
    </row>
    <row r="26">
      <c r="A26" s="25" t="inlineStr">
        <is>
          <t>Opening operating reserve</t>
        </is>
      </c>
      <c r="B26" s="34">
        <f>'Funding'!C19</f>
        <v/>
      </c>
    </row>
    <row r="27">
      <c r="A27" s="25" t="inlineStr">
        <is>
          <t>Reserve target</t>
        </is>
      </c>
      <c r="B27" s="34">
        <f>IF('Funding'!C21="",'Funding'!C20*B23,'Funding'!C21)</f>
        <v/>
      </c>
      <c r="C27" s="34">
        <f>IF('Funding'!C21="",'Funding'!C20*C23,'Funding'!C21)</f>
        <v/>
      </c>
    </row>
    <row r="28">
      <c r="A28" s="25" t="inlineStr">
        <is>
          <t>Paid by health authority</t>
        </is>
      </c>
      <c r="B28" s="34">
        <f>B23-B9</f>
        <v/>
      </c>
      <c r="C28" s="34">
        <f>C23-B9</f>
        <v/>
      </c>
    </row>
    <row r="29">
      <c r="A29" s="93" t="inlineStr">
        <is>
          <t>ROLLUPS</t>
        </is>
      </c>
    </row>
    <row r="30">
      <c r="A30" s="25" t="inlineStr">
        <is>
          <t>Weekly direct wages</t>
        </is>
      </c>
      <c r="B30" s="34">
        <f>SUM(G70:G84)</f>
        <v/>
      </c>
      <c r="C30" s="34">
        <f>SUM(H70:H84)</f>
        <v/>
      </c>
    </row>
    <row r="31">
      <c r="A31" s="25" t="inlineStr">
        <is>
          <t>Paid hour-units / week</t>
        </is>
      </c>
      <c r="B31" s="94">
        <f>SUMPRODUCT((C70:C84=1)*(UPPER(TRIM(N70:N84))="HOUR")*(O70:O84))</f>
        <v/>
      </c>
      <c r="C31" s="94">
        <f>SUMPRODUCT((D70:D84=1)*(UPPER(TRIM(N70:N84))="HOUR")*(P70:P84))</f>
        <v/>
      </c>
    </row>
    <row r="32">
      <c r="A32" s="25" t="inlineStr">
        <is>
          <t>Paid hour-units / month</t>
        </is>
      </c>
      <c r="B32" s="94">
        <f>B31*$B$5</f>
        <v/>
      </c>
      <c r="C32" s="94">
        <f>C31*$B$5</f>
        <v/>
      </c>
    </row>
    <row r="33">
      <c r="A33" s="25" t="inlineStr">
        <is>
          <t>Care hours / week</t>
        </is>
      </c>
      <c r="B33" s="94">
        <f>SUM(L70:L84)</f>
        <v/>
      </c>
      <c r="C33" s="94">
        <f>SUM(M70:M84)</f>
        <v/>
      </c>
    </row>
    <row r="34">
      <c r="A34" s="25" t="inlineStr">
        <is>
          <t>Care hours / month</t>
        </is>
      </c>
      <c r="B34" s="94">
        <f>B33*$B$5</f>
        <v/>
      </c>
      <c r="C34" s="94">
        <f>C33*$B$5</f>
        <v/>
      </c>
    </row>
    <row r="35">
      <c r="A35" s="25" t="inlineStr">
        <is>
          <t>Monthly direct wages</t>
        </is>
      </c>
      <c r="B35" s="34">
        <f>B30*$B$5</f>
        <v/>
      </c>
      <c r="C35" s="34">
        <f>C30*$B$5</f>
        <v/>
      </c>
    </row>
    <row r="36">
      <c r="A36" s="25" t="inlineStr">
        <is>
          <t>Annual direct wages</t>
        </is>
      </c>
      <c r="B36" s="34">
        <f>B30*$B$6</f>
        <v/>
      </c>
      <c r="C36" s="34">
        <f>C30*$B$6</f>
        <v/>
      </c>
    </row>
    <row r="37">
      <c r="A37" s="25" t="inlineStr">
        <is>
          <t>Daily pay equivalent</t>
        </is>
      </c>
      <c r="B37" s="34">
        <f>B30/7</f>
        <v/>
      </c>
      <c r="C37" s="34">
        <f>C30/7</f>
        <v/>
      </c>
    </row>
    <row r="38">
      <c r="A38" s="25" t="inlineStr">
        <is>
          <t>Sick allowance (annual)</t>
        </is>
      </c>
      <c r="B38" s="34">
        <f>B36*$B$20</f>
        <v/>
      </c>
      <c r="C38" s="34">
        <f>C36*$B$20</f>
        <v/>
      </c>
    </row>
    <row r="39">
      <c r="A39" s="25" t="inlineStr">
        <is>
          <t>Statutory allowance (annual)</t>
        </is>
      </c>
      <c r="B39" s="34">
        <f>B37*$B$22*$B$21</f>
        <v/>
      </c>
      <c r="C39" s="34">
        <f>C37*$B$22*$B$21</f>
        <v/>
      </c>
    </row>
    <row r="40">
      <c r="A40" s="25" t="inlineStr">
        <is>
          <t>Vacation allowance (annual)</t>
        </is>
      </c>
      <c r="B40" s="34">
        <f>B41-B36-B38-B39</f>
        <v/>
      </c>
      <c r="C40" s="34">
        <f>C41-C36-C38-C39</f>
        <v/>
      </c>
    </row>
    <row r="41">
      <c r="A41" s="25" t="inlineStr">
        <is>
          <t>Annual wage base</t>
        </is>
      </c>
      <c r="B41" s="34">
        <f>SUM(J70:J84)</f>
        <v/>
      </c>
      <c r="C41" s="34">
        <f>SUM(K70:K84)</f>
        <v/>
      </c>
    </row>
    <row r="42">
      <c r="A42" s="25" t="inlineStr">
        <is>
          <t>CPP employer (annual)</t>
        </is>
      </c>
      <c r="B42" s="34">
        <f>SUM(S70:S84)</f>
        <v/>
      </c>
      <c r="C42" s="34">
        <f>SUM(W70:W84)</f>
        <v/>
      </c>
    </row>
    <row r="43">
      <c r="A43" s="25" t="inlineStr">
        <is>
          <t>CPP2 employer (annual)</t>
        </is>
      </c>
      <c r="B43" s="34">
        <f>SUM(T70:T84)</f>
        <v/>
      </c>
      <c r="C43" s="34">
        <f>SUM(X70:X84)</f>
        <v/>
      </c>
    </row>
    <row r="44">
      <c r="A44" s="25" t="inlineStr">
        <is>
          <t>CPP + CPP2 (annual)</t>
        </is>
      </c>
      <c r="B44" s="34">
        <f>B42+B43</f>
        <v/>
      </c>
      <c r="C44" s="34">
        <f>C42+C43</f>
        <v/>
      </c>
    </row>
    <row r="45">
      <c r="A45" s="25" t="inlineStr">
        <is>
          <t>EI employer (annual)</t>
        </is>
      </c>
      <c r="B45" s="34">
        <f>SUM(U70:U84)</f>
        <v/>
      </c>
      <c r="C45" s="34">
        <f>SUM(Y70:Y84)</f>
        <v/>
      </c>
    </row>
    <row r="46">
      <c r="A46" s="25" t="inlineStr">
        <is>
          <t>WorkSafeBC (annual)</t>
        </is>
      </c>
      <c r="B46" s="34">
        <f>SUM(V70:V84)</f>
        <v/>
      </c>
      <c r="C46" s="34">
        <f>SUM(Z70:Z84)</f>
        <v/>
      </c>
    </row>
    <row r="47">
      <c r="A47" s="25" t="inlineStr">
        <is>
          <t>Annual employment cost</t>
        </is>
      </c>
      <c r="B47" s="34">
        <f>B41+B44+B45+B46</f>
        <v/>
      </c>
      <c r="C47" s="34">
        <f>C41+C44+C45+C46</f>
        <v/>
      </c>
    </row>
    <row r="48">
      <c r="A48" s="25" t="inlineStr">
        <is>
          <t>Employment cost / month</t>
        </is>
      </c>
      <c r="B48" s="34">
        <f>B47/12</f>
        <v/>
      </c>
      <c r="C48" s="34">
        <f>C47/12</f>
        <v/>
      </c>
    </row>
    <row r="49">
      <c r="A49" s="25" t="inlineStr">
        <is>
          <t>Direct wages / month</t>
        </is>
      </c>
      <c r="B49" s="34">
        <f>B35</f>
        <v/>
      </c>
      <c r="C49" s="34">
        <f>C35</f>
        <v/>
      </c>
    </row>
    <row r="50">
      <c r="A50" s="25" t="inlineStr">
        <is>
          <t>Vacation, sick, and statutory / month</t>
        </is>
      </c>
      <c r="B50" s="34">
        <f>(B38+B39+B40)/12</f>
        <v/>
      </c>
      <c r="C50" s="34">
        <f>(C38+C39+C40)/12</f>
        <v/>
      </c>
    </row>
    <row r="51">
      <c r="A51" s="25" t="inlineStr">
        <is>
          <t>CPP, CPP2, EI, and WorkSafeBC / month</t>
        </is>
      </c>
      <c r="B51" s="34">
        <f>(B44+B45+B46)/12</f>
        <v/>
      </c>
      <c r="C51" s="34">
        <f>(C44+C45+C46)/12</f>
        <v/>
      </c>
    </row>
    <row r="52">
      <c r="A52" s="25" t="inlineStr">
        <is>
          <t>Employer payroll costs / month</t>
        </is>
      </c>
      <c r="B52" s="34">
        <f>B50+B51</f>
        <v/>
      </c>
      <c r="C52" s="34">
        <f>C50+C51</f>
        <v/>
      </c>
    </row>
    <row r="54">
      <c r="A54" s="93" t="inlineStr">
        <is>
          <t>BUDGET AND RESERVE</t>
        </is>
      </c>
    </row>
    <row r="55">
      <c r="A55" s="25" t="inlineStr">
        <is>
          <t>Operating expenses / month</t>
        </is>
      </c>
      <c r="B55" s="34">
        <f>SUM('Expenses'!C11:C20)</f>
        <v/>
      </c>
      <c r="C55" s="34">
        <f>SUM('Expenses'!F11:F20)</f>
        <v/>
      </c>
    </row>
    <row r="56">
      <c r="A56" s="25" t="inlineStr">
        <is>
          <t>Total cost / month</t>
        </is>
      </c>
      <c r="B56" s="34">
        <f>B48+B55</f>
        <v/>
      </c>
      <c r="C56" s="34">
        <f>C48+C55</f>
        <v/>
      </c>
    </row>
    <row r="57">
      <c r="A57" s="25" t="inlineStr">
        <is>
          <t>Total cost plus desired reserve growth</t>
        </is>
      </c>
      <c r="B57" s="34">
        <f>B56+$B$25</f>
        <v/>
      </c>
      <c r="C57" s="34">
        <f>C56+$B$25</f>
        <v/>
      </c>
    </row>
    <row r="58">
      <c r="A58" s="25" t="inlineStr">
        <is>
          <t>Room in monthly funding</t>
        </is>
      </c>
      <c r="B58" s="34">
        <f>B24-B56</f>
        <v/>
      </c>
      <c r="C58" s="34">
        <f>C24-C56</f>
        <v/>
      </c>
    </row>
    <row r="59">
      <c r="A59" t="inlineStr">
        <is>
          <t>Reserve runway (months)</t>
        </is>
      </c>
      <c r="B59" s="94">
        <f>IFERROR($B$26/B56,0)</f>
        <v/>
      </c>
      <c r="C59" s="94">
        <f>IFERROR($B$26/C56,0)</f>
        <v/>
      </c>
    </row>
    <row r="60">
      <c r="A60" s="25" t="inlineStr">
        <is>
          <t>Expected monthly reserve change</t>
        </is>
      </c>
      <c r="B60" s="34">
        <f>B24-B48-B55</f>
        <v/>
      </c>
      <c r="C60" s="34">
        <f>C24-C48-C55</f>
        <v/>
      </c>
    </row>
    <row r="61">
      <c r="A61" s="25" t="inlineStr">
        <is>
          <t>Projected 12-month reserve</t>
        </is>
      </c>
      <c r="B61" s="34">
        <f>$B$26+12*B60</f>
        <v/>
      </c>
      <c r="C61" s="34">
        <f>$B$26+12*C60</f>
        <v/>
      </c>
    </row>
    <row r="62">
      <c r="A62" s="25" t="inlineStr">
        <is>
          <t>Authorized surplus</t>
        </is>
      </c>
      <c r="B62" s="34">
        <f>B23</f>
        <v/>
      </c>
      <c r="C62" s="34">
        <f>C23</f>
        <v/>
      </c>
    </row>
    <row r="64">
      <c r="A64" s="25" t="inlineStr">
        <is>
          <t>Room after reserve-growth goal</t>
        </is>
      </c>
      <c r="B64" s="34">
        <f>B60-$B$25</f>
        <v/>
      </c>
      <c r="C64" s="34">
        <f>C60-$B$25</f>
        <v/>
      </c>
    </row>
    <row r="65">
      <c r="A65" t="inlineStr">
        <is>
          <t>12-month reserve status</t>
        </is>
      </c>
      <c r="B65" s="96">
        <f>IF(B61&lt;0,"Projected reserve is exhausted and below zero.",IF(B61&gt;B62+0.005,"Projected reserve exceeds the authorized surplus amount by "&amp;TEXT(ROUND(B61-B62,2),"$#,##0.00")&amp;".",IF(B61+0.005&gt;=B27,"Projected reserve reaches the reserve target.","Projected reserve remains below the reserve target.")))</f>
        <v/>
      </c>
      <c r="C65" s="96">
        <f>IF(C61&lt;0,"Projected reserve is exhausted and below zero.",IF(C61&gt;C62+0.005,"Projected reserve exceeds the authorized surplus amount by "&amp;TEXT(ROUND(C61-C62,2),"$#,##0.00")&amp;".",IF(C61+0.005&gt;=C27,"Projected reserve reaches the reserve target.","Projected reserve remains below the reserve target.")))</f>
        <v/>
      </c>
    </row>
    <row r="66">
      <c r="A66" t="inlineStr">
        <is>
          <t>Proposed entries</t>
        </is>
      </c>
      <c r="B66" s="97">
        <f>COUNT('Funding'!I12:I13)+COUNT('Care Team'!K11:N25)+COUNT('Expenses'!E11:E20)+COUNTIF('Care Team'!J11:J25,"&lt;&gt;")</f>
        <v/>
      </c>
    </row>
    <row r="69">
      <c r="A69" s="43" t="inlineStr">
        <is>
          <t>Slot</t>
        </is>
      </c>
      <c r="B69" s="43" t="inlineStr">
        <is>
          <t>Person</t>
        </is>
      </c>
      <c r="C69" s="43" t="inlineStr">
        <is>
          <t>Current on</t>
        </is>
      </c>
      <c r="D69" s="43" t="inlineStr">
        <is>
          <t>Proposed on</t>
        </is>
      </c>
      <c r="E69" s="43" t="inlineStr">
        <is>
          <t>Name key</t>
        </is>
      </c>
      <c r="F69" s="43" t="inlineStr">
        <is>
          <t>First row</t>
        </is>
      </c>
      <c r="G69" s="43" t="inlineStr">
        <is>
          <t>Weekly Current</t>
        </is>
      </c>
      <c r="H69" s="43" t="inlineStr">
        <is>
          <t>Weekly Proposed</t>
        </is>
      </c>
      <c r="I69" s="43" t="inlineStr">
        <is>
          <t>Current vacation</t>
        </is>
      </c>
      <c r="J69" s="43" t="inlineStr">
        <is>
          <t>Wage base Current</t>
        </is>
      </c>
      <c r="K69" s="43" t="inlineStr">
        <is>
          <t>Wage base Proposed</t>
        </is>
      </c>
      <c r="L69" s="43" t="inlineStr">
        <is>
          <t>Care Current</t>
        </is>
      </c>
      <c r="M69" s="43" t="inlineStr">
        <is>
          <t>Care Proposed</t>
        </is>
      </c>
      <c r="N69" s="43" t="inlineStr">
        <is>
          <t>Pay unit</t>
        </is>
      </c>
      <c r="O69" s="43" t="inlineStr">
        <is>
          <t>Current units</t>
        </is>
      </c>
      <c r="P69" s="43" t="inlineStr">
        <is>
          <t>Proposed units</t>
        </is>
      </c>
      <c r="Q69" s="43" t="inlineStr">
        <is>
          <t>Person wage Current</t>
        </is>
      </c>
      <c r="R69" s="43" t="inlineStr">
        <is>
          <t>Person wage Proposed</t>
        </is>
      </c>
      <c r="S69" s="43" t="inlineStr">
        <is>
          <t>CPP Current</t>
        </is>
      </c>
      <c r="T69" s="43" t="inlineStr">
        <is>
          <t>CPP2 Current</t>
        </is>
      </c>
      <c r="U69" s="43" t="inlineStr">
        <is>
          <t>EI Current</t>
        </is>
      </c>
      <c r="V69" s="43" t="inlineStr">
        <is>
          <t>WorkSafeBC Current</t>
        </is>
      </c>
      <c r="W69" s="43" t="inlineStr">
        <is>
          <t>CPP Proposed</t>
        </is>
      </c>
      <c r="X69" s="43" t="inlineStr">
        <is>
          <t>CPP2 Proposed</t>
        </is>
      </c>
      <c r="Y69" s="43" t="inlineStr">
        <is>
          <t>EI Proposed</t>
        </is>
      </c>
      <c r="Z69" s="43" t="inlineStr">
        <is>
          <t>WorkSafeBC Proposed</t>
        </is>
      </c>
      <c r="AA69" s="43" t="inlineStr">
        <is>
          <t>Proposed vacation</t>
        </is>
      </c>
      <c r="AB69" s="43" t="inlineStr">
        <is>
          <t>Vacation warning</t>
        </is>
      </c>
      <c r="AC69" s="43" t="inlineStr">
        <is>
          <t>Effective Proposed vacation</t>
        </is>
      </c>
      <c r="AD69" s="43" t="inlineStr">
        <is>
          <t>Override count</t>
        </is>
      </c>
    </row>
    <row r="70">
      <c r="A70" s="96" t="n">
        <v>1</v>
      </c>
      <c r="B70" s="96">
        <f>IF('Care Team'!B11="","",'Care Team'!B11)</f>
        <v/>
      </c>
      <c r="C70" s="96">
        <f>IF(AND(TRIM('Care Team'!B11)&lt;&gt;"",OR(UPPER(TRIM('Care Team'!E11&amp;""))="SCHEDULED",UPPER(TRIM('Care Team'!E11&amp;""))="CASUAL")),1,0)</f>
        <v/>
      </c>
      <c r="D70" s="96">
        <f>IF(AND(TRIM('Care Team'!B11)&lt;&gt;"",OR(UPPER(TRIM((IF('Care Team'!J11="",'Care Team'!E11,'Care Team'!J11))&amp;""))="SCHEDULED",UPPER(TRIM((IF('Care Team'!J11="",'Care Team'!E11,'Care Team'!J11))&amp;""))="CASUAL")),1,0)</f>
        <v/>
      </c>
      <c r="E70" s="96">
        <f>IF(OR(C70=1,D70=1),TRIM(B70),"")</f>
        <v/>
      </c>
      <c r="F70" s="96">
        <f>IF(E70="","",IF(COUNTIF($E$70:E70,E70)=1,ROW(),""))</f>
        <v/>
      </c>
      <c r="G70" s="34">
        <f>IF(C70=1,IFERROR('Care Team'!F11*'Care Team'!G11,0),0)</f>
        <v/>
      </c>
      <c r="H70" s="34">
        <f>IF(D70=1,IFERROR((IF('Care Team'!K11="",'Care Team'!F11,'Care Team'!K11))*(IF('Care Team'!L11="",'Care Team'!G11,'Care Team'!L11)),0),0)</f>
        <v/>
      </c>
      <c r="I70" s="98">
        <f>IF('Care Team'!I11="","",'Care Team'!I11)</f>
        <v/>
      </c>
      <c r="J70" s="34">
        <f>IF(E70="","",G70*$B$6+G70*$B$6*$B$20+(G70/7)*$B$22*$B$21+(G70*$B$6+G70*$B$6*$B$20+(G70/7)*$B$22*$B$21)*IF(I70="",$B$19,I70))</f>
        <v/>
      </c>
      <c r="K70" s="34">
        <f>IF(E70="","",H70*$B$6+H70*$B$6*$B$20+(H70/7)*$B$22*$B$21+(H70*$B$6+H70*$B$6*$B$20+(H70/7)*$B$22*$B$21)*IF(AA70="",$B$19,AA70))</f>
        <v/>
      </c>
      <c r="L70" s="96">
        <f>IF(C70=1,IFERROR('Care Team'!H11,0),0)</f>
        <v/>
      </c>
      <c r="M70" s="96">
        <f>IF(D70=1,IFERROR(IF('Care Team'!M11="",'Care Team'!H11,'Care Team'!M11),0),0)</f>
        <v/>
      </c>
      <c r="N70" s="96">
        <f>'Care Team'!D11</f>
        <v/>
      </c>
      <c r="O70" s="96">
        <f>IF(C70=1,IFERROR('Care Team'!F11,0),0)</f>
        <v/>
      </c>
      <c r="P70" s="96">
        <f>IF(D70=1,IFERROR(IF('Care Team'!K11="",'Care Team'!F11,'Care Team'!K11),0),0)</f>
        <v/>
      </c>
      <c r="Q70" s="34">
        <f>IF(OR(F70="",COUNT($F$70:F70)&gt;20),0,SUMIF($E$70:$E$84,E70,$J$70:$J$84))</f>
        <v/>
      </c>
      <c r="R70" s="34">
        <f>IF(OR(F70="",COUNT($F$70:F70)&gt;20),0,SUMIF($E$70:$E$84,E70,$K$70:$K$84))</f>
        <v/>
      </c>
      <c r="S70" s="34">
        <f>MAX(0,MIN(Q70,$B$14)-$B$13)*$B$12</f>
        <v/>
      </c>
      <c r="T70" s="34">
        <f>MAX(0,MIN(Q70,$B$16)-$B$14)*$B$15</f>
        <v/>
      </c>
      <c r="U70" s="34">
        <f>MIN(Q70,$B$18)*$B$17</f>
        <v/>
      </c>
      <c r="V70" s="34">
        <f>Q70*$B$11</f>
        <v/>
      </c>
      <c r="W70" s="34">
        <f>MAX(0,MIN(R70,$B$14)-$B$13)*$B$12</f>
        <v/>
      </c>
      <c r="X70" s="34">
        <f>MAX(0,MIN(R70,$B$16)-$B$14)*$B$15</f>
        <v/>
      </c>
      <c r="Y70" s="34">
        <f>MIN(R70,$B$18)*$B$17</f>
        <v/>
      </c>
      <c r="Z70" s="34">
        <f>R70*$B$11</f>
        <v/>
      </c>
      <c r="AA70" s="98">
        <f>IF('Care Team'!N11="",I70,'Care Team'!N11)</f>
        <v/>
      </c>
      <c r="AB70" s="96">
        <f>IF(OR(F70="",D70&lt;&gt;1),"",IF(SUMPRODUCT(($E$70:$E$84=E70)*($D$70:$D$84=1)*($AC$70:$AC$84&lt;&gt;AC70))&gt;0,"Vacation % differs across this person's active components.",""))</f>
        <v/>
      </c>
      <c r="AC70" s="98">
        <f>IF(D70&lt;&gt;1,"",IF(AA70="",$B$19,AA70))</f>
        <v/>
      </c>
      <c r="AD70" s="97">
        <f>IF('Care Team'!J11="",0,1)+COUNT('Care Team'!K11)+COUNT('Care Team'!L11)+COUNT('Care Team'!M11)+COUNT('Care Team'!N11)</f>
        <v/>
      </c>
    </row>
    <row r="71">
      <c r="A71" s="96" t="n">
        <v>2</v>
      </c>
      <c r="B71" s="96">
        <f>IF('Care Team'!B12="","",'Care Team'!B12)</f>
        <v/>
      </c>
      <c r="C71" s="96">
        <f>IF(AND(TRIM('Care Team'!B12)&lt;&gt;"",OR(UPPER(TRIM('Care Team'!E12&amp;""))="SCHEDULED",UPPER(TRIM('Care Team'!E12&amp;""))="CASUAL")),1,0)</f>
        <v/>
      </c>
      <c r="D71" s="96">
        <f>IF(AND(TRIM('Care Team'!B12)&lt;&gt;"",OR(UPPER(TRIM((IF('Care Team'!J12="",'Care Team'!E12,'Care Team'!J12))&amp;""))="SCHEDULED",UPPER(TRIM((IF('Care Team'!J12="",'Care Team'!E12,'Care Team'!J12))&amp;""))="CASUAL")),1,0)</f>
        <v/>
      </c>
      <c r="E71" s="96">
        <f>IF(OR(C71=1,D71=1),TRIM(B71),"")</f>
        <v/>
      </c>
      <c r="F71" s="96">
        <f>IF(E71="","",IF(COUNTIF($E$70:E71,E71)=1,ROW(),""))</f>
        <v/>
      </c>
      <c r="G71" s="34">
        <f>IF(C71=1,IFERROR('Care Team'!F12*'Care Team'!G12,0),0)</f>
        <v/>
      </c>
      <c r="H71" s="34">
        <f>IF(D71=1,IFERROR((IF('Care Team'!K12="",'Care Team'!F12,'Care Team'!K12))*(IF('Care Team'!L12="",'Care Team'!G12,'Care Team'!L12)),0),0)</f>
        <v/>
      </c>
      <c r="I71" s="98">
        <f>IF('Care Team'!I12="","",'Care Team'!I12)</f>
        <v/>
      </c>
      <c r="J71" s="34">
        <f>IF(E71="","",G71*$B$6+G71*$B$6*$B$20+(G71/7)*$B$22*$B$21+(G71*$B$6+G71*$B$6*$B$20+(G71/7)*$B$22*$B$21)*IF(I71="",$B$19,I71))</f>
        <v/>
      </c>
      <c r="K71" s="34">
        <f>IF(E71="","",H71*$B$6+H71*$B$6*$B$20+(H71/7)*$B$22*$B$21+(H71*$B$6+H71*$B$6*$B$20+(H71/7)*$B$22*$B$21)*IF(AA71="",$B$19,AA71))</f>
        <v/>
      </c>
      <c r="L71" s="96">
        <f>IF(C71=1,IFERROR('Care Team'!H12,0),0)</f>
        <v/>
      </c>
      <c r="M71" s="96">
        <f>IF(D71=1,IFERROR(IF('Care Team'!M12="",'Care Team'!H12,'Care Team'!M12),0),0)</f>
        <v/>
      </c>
      <c r="N71" s="96">
        <f>'Care Team'!D12</f>
        <v/>
      </c>
      <c r="O71" s="96">
        <f>IF(C71=1,IFERROR('Care Team'!F12,0),0)</f>
        <v/>
      </c>
      <c r="P71" s="96">
        <f>IF(D71=1,IFERROR(IF('Care Team'!K12="",'Care Team'!F12,'Care Team'!K12),0),0)</f>
        <v/>
      </c>
      <c r="Q71" s="34">
        <f>IF(OR(F71="",COUNT($F$70:F71)&gt;20),0,SUMIF($E$70:$E$84,E71,$J$70:$J$84))</f>
        <v/>
      </c>
      <c r="R71" s="34">
        <f>IF(OR(F71="",COUNT($F$70:F71)&gt;20),0,SUMIF($E$70:$E$84,E71,$K$70:$K$84))</f>
        <v/>
      </c>
      <c r="S71" s="34">
        <f>MAX(0,MIN(Q71,$B$14)-$B$13)*$B$12</f>
        <v/>
      </c>
      <c r="T71" s="34">
        <f>MAX(0,MIN(Q71,$B$16)-$B$14)*$B$15</f>
        <v/>
      </c>
      <c r="U71" s="34">
        <f>MIN(Q71,$B$18)*$B$17</f>
        <v/>
      </c>
      <c r="V71" s="34">
        <f>Q71*$B$11</f>
        <v/>
      </c>
      <c r="W71" s="34">
        <f>MAX(0,MIN(R71,$B$14)-$B$13)*$B$12</f>
        <v/>
      </c>
      <c r="X71" s="34">
        <f>MAX(0,MIN(R71,$B$16)-$B$14)*$B$15</f>
        <v/>
      </c>
      <c r="Y71" s="34">
        <f>MIN(R71,$B$18)*$B$17</f>
        <v/>
      </c>
      <c r="Z71" s="34">
        <f>R71*$B$11</f>
        <v/>
      </c>
      <c r="AA71" s="98">
        <f>IF('Care Team'!N12="",I71,'Care Team'!N12)</f>
        <v/>
      </c>
      <c r="AB71" s="96">
        <f>IF(OR(F71="",D71&lt;&gt;1),"",IF(SUMPRODUCT(($E$70:$E$84=E71)*($D$70:$D$84=1)*($AC$70:$AC$84&lt;&gt;AC71))&gt;0,"Vacation % differs across this person's active components.",""))</f>
        <v/>
      </c>
      <c r="AC71" s="98">
        <f>IF(D71&lt;&gt;1,"",IF(AA71="",$B$19,AA71))</f>
        <v/>
      </c>
      <c r="AD71" s="97">
        <f>IF('Care Team'!J12="",0,1)+COUNT('Care Team'!K12)+COUNT('Care Team'!L12)+COUNT('Care Team'!M12)+COUNT('Care Team'!N12)</f>
        <v/>
      </c>
    </row>
    <row r="72">
      <c r="A72" s="96" t="n">
        <v>3</v>
      </c>
      <c r="B72" s="96">
        <f>IF('Care Team'!B13="","",'Care Team'!B13)</f>
        <v/>
      </c>
      <c r="C72" s="96">
        <f>IF(AND(TRIM('Care Team'!B13)&lt;&gt;"",OR(UPPER(TRIM('Care Team'!E13&amp;""))="SCHEDULED",UPPER(TRIM('Care Team'!E13&amp;""))="CASUAL")),1,0)</f>
        <v/>
      </c>
      <c r="D72" s="96">
        <f>IF(AND(TRIM('Care Team'!B13)&lt;&gt;"",OR(UPPER(TRIM((IF('Care Team'!J13="",'Care Team'!E13,'Care Team'!J13))&amp;""))="SCHEDULED",UPPER(TRIM((IF('Care Team'!J13="",'Care Team'!E13,'Care Team'!J13))&amp;""))="CASUAL")),1,0)</f>
        <v/>
      </c>
      <c r="E72" s="96">
        <f>IF(OR(C72=1,D72=1),TRIM(B72),"")</f>
        <v/>
      </c>
      <c r="F72" s="96">
        <f>IF(E72="","",IF(COUNTIF($E$70:E72,E72)=1,ROW(),""))</f>
        <v/>
      </c>
      <c r="G72" s="34">
        <f>IF(C72=1,IFERROR('Care Team'!F13*'Care Team'!G13,0),0)</f>
        <v/>
      </c>
      <c r="H72" s="34">
        <f>IF(D72=1,IFERROR((IF('Care Team'!K13="",'Care Team'!F13,'Care Team'!K13))*(IF('Care Team'!L13="",'Care Team'!G13,'Care Team'!L13)),0),0)</f>
        <v/>
      </c>
      <c r="I72" s="98">
        <f>IF('Care Team'!I13="","",'Care Team'!I13)</f>
        <v/>
      </c>
      <c r="J72" s="34">
        <f>IF(E72="","",G72*$B$6+G72*$B$6*$B$20+(G72/7)*$B$22*$B$21+(G72*$B$6+G72*$B$6*$B$20+(G72/7)*$B$22*$B$21)*IF(I72="",$B$19,I72))</f>
        <v/>
      </c>
      <c r="K72" s="34">
        <f>IF(E72="","",H72*$B$6+H72*$B$6*$B$20+(H72/7)*$B$22*$B$21+(H72*$B$6+H72*$B$6*$B$20+(H72/7)*$B$22*$B$21)*IF(AA72="",$B$19,AA72))</f>
        <v/>
      </c>
      <c r="L72" s="96">
        <f>IF(C72=1,IFERROR('Care Team'!H13,0),0)</f>
        <v/>
      </c>
      <c r="M72" s="96">
        <f>IF(D72=1,IFERROR(IF('Care Team'!M13="",'Care Team'!H13,'Care Team'!M13),0),0)</f>
        <v/>
      </c>
      <c r="N72" s="96">
        <f>'Care Team'!D13</f>
        <v/>
      </c>
      <c r="O72" s="96">
        <f>IF(C72=1,IFERROR('Care Team'!F13,0),0)</f>
        <v/>
      </c>
      <c r="P72" s="96">
        <f>IF(D72=1,IFERROR(IF('Care Team'!K13="",'Care Team'!F13,'Care Team'!K13),0),0)</f>
        <v/>
      </c>
      <c r="Q72" s="34">
        <f>IF(OR(F72="",COUNT($F$70:F72)&gt;20),0,SUMIF($E$70:$E$84,E72,$J$70:$J$84))</f>
        <v/>
      </c>
      <c r="R72" s="34">
        <f>IF(OR(F72="",COUNT($F$70:F72)&gt;20),0,SUMIF($E$70:$E$84,E72,$K$70:$K$84))</f>
        <v/>
      </c>
      <c r="S72" s="34">
        <f>MAX(0,MIN(Q72,$B$14)-$B$13)*$B$12</f>
        <v/>
      </c>
      <c r="T72" s="34">
        <f>MAX(0,MIN(Q72,$B$16)-$B$14)*$B$15</f>
        <v/>
      </c>
      <c r="U72" s="34">
        <f>MIN(Q72,$B$18)*$B$17</f>
        <v/>
      </c>
      <c r="V72" s="34">
        <f>Q72*$B$11</f>
        <v/>
      </c>
      <c r="W72" s="34">
        <f>MAX(0,MIN(R72,$B$14)-$B$13)*$B$12</f>
        <v/>
      </c>
      <c r="X72" s="34">
        <f>MAX(0,MIN(R72,$B$16)-$B$14)*$B$15</f>
        <v/>
      </c>
      <c r="Y72" s="34">
        <f>MIN(R72,$B$18)*$B$17</f>
        <v/>
      </c>
      <c r="Z72" s="34">
        <f>R72*$B$11</f>
        <v/>
      </c>
      <c r="AA72" s="98">
        <f>IF('Care Team'!N13="",I72,'Care Team'!N13)</f>
        <v/>
      </c>
      <c r="AB72" s="96">
        <f>IF(OR(F72="",D72&lt;&gt;1),"",IF(SUMPRODUCT(($E$70:$E$84=E72)*($D$70:$D$84=1)*($AC$70:$AC$84&lt;&gt;AC72))&gt;0,"Vacation % differs across this person's active components.",""))</f>
        <v/>
      </c>
      <c r="AC72" s="98">
        <f>IF(D72&lt;&gt;1,"",IF(AA72="",$B$19,AA72))</f>
        <v/>
      </c>
      <c r="AD72" s="97">
        <f>IF('Care Team'!J13="",0,1)+COUNT('Care Team'!K13)+COUNT('Care Team'!L13)+COUNT('Care Team'!M13)+COUNT('Care Team'!N13)</f>
        <v/>
      </c>
    </row>
    <row r="73">
      <c r="A73" s="96" t="n">
        <v>4</v>
      </c>
      <c r="B73" s="96">
        <f>IF('Care Team'!B14="","",'Care Team'!B14)</f>
        <v/>
      </c>
      <c r="C73" s="96">
        <f>IF(AND(TRIM('Care Team'!B14)&lt;&gt;"",OR(UPPER(TRIM('Care Team'!E14&amp;""))="SCHEDULED",UPPER(TRIM('Care Team'!E14&amp;""))="CASUAL")),1,0)</f>
        <v/>
      </c>
      <c r="D73" s="96">
        <f>IF(AND(TRIM('Care Team'!B14)&lt;&gt;"",OR(UPPER(TRIM((IF('Care Team'!J14="",'Care Team'!E14,'Care Team'!J14))&amp;""))="SCHEDULED",UPPER(TRIM((IF('Care Team'!J14="",'Care Team'!E14,'Care Team'!J14))&amp;""))="CASUAL")),1,0)</f>
        <v/>
      </c>
      <c r="E73" s="96">
        <f>IF(OR(C73=1,D73=1),TRIM(B73),"")</f>
        <v/>
      </c>
      <c r="F73" s="96">
        <f>IF(E73="","",IF(COUNTIF($E$70:E73,E73)=1,ROW(),""))</f>
        <v/>
      </c>
      <c r="G73" s="34">
        <f>IF(C73=1,IFERROR('Care Team'!F14*'Care Team'!G14,0),0)</f>
        <v/>
      </c>
      <c r="H73" s="34">
        <f>IF(D73=1,IFERROR((IF('Care Team'!K14="",'Care Team'!F14,'Care Team'!K14))*(IF('Care Team'!L14="",'Care Team'!G14,'Care Team'!L14)),0),0)</f>
        <v/>
      </c>
      <c r="I73" s="98">
        <f>IF('Care Team'!I14="","",'Care Team'!I14)</f>
        <v/>
      </c>
      <c r="J73" s="34">
        <f>IF(E73="","",G73*$B$6+G73*$B$6*$B$20+(G73/7)*$B$22*$B$21+(G73*$B$6+G73*$B$6*$B$20+(G73/7)*$B$22*$B$21)*IF(I73="",$B$19,I73))</f>
        <v/>
      </c>
      <c r="K73" s="34">
        <f>IF(E73="","",H73*$B$6+H73*$B$6*$B$20+(H73/7)*$B$22*$B$21+(H73*$B$6+H73*$B$6*$B$20+(H73/7)*$B$22*$B$21)*IF(AA73="",$B$19,AA73))</f>
        <v/>
      </c>
      <c r="L73" s="96">
        <f>IF(C73=1,IFERROR('Care Team'!H14,0),0)</f>
        <v/>
      </c>
      <c r="M73" s="96">
        <f>IF(D73=1,IFERROR(IF('Care Team'!M14="",'Care Team'!H14,'Care Team'!M14),0),0)</f>
        <v/>
      </c>
      <c r="N73" s="96">
        <f>'Care Team'!D14</f>
        <v/>
      </c>
      <c r="O73" s="96">
        <f>IF(C73=1,IFERROR('Care Team'!F14,0),0)</f>
        <v/>
      </c>
      <c r="P73" s="96">
        <f>IF(D73=1,IFERROR(IF('Care Team'!K14="",'Care Team'!F14,'Care Team'!K14),0),0)</f>
        <v/>
      </c>
      <c r="Q73" s="34">
        <f>IF(OR(F73="",COUNT($F$70:F73)&gt;20),0,SUMIF($E$70:$E$84,E73,$J$70:$J$84))</f>
        <v/>
      </c>
      <c r="R73" s="34">
        <f>IF(OR(F73="",COUNT($F$70:F73)&gt;20),0,SUMIF($E$70:$E$84,E73,$K$70:$K$84))</f>
        <v/>
      </c>
      <c r="S73" s="34">
        <f>MAX(0,MIN(Q73,$B$14)-$B$13)*$B$12</f>
        <v/>
      </c>
      <c r="T73" s="34">
        <f>MAX(0,MIN(Q73,$B$16)-$B$14)*$B$15</f>
        <v/>
      </c>
      <c r="U73" s="34">
        <f>MIN(Q73,$B$18)*$B$17</f>
        <v/>
      </c>
      <c r="V73" s="34">
        <f>Q73*$B$11</f>
        <v/>
      </c>
      <c r="W73" s="34">
        <f>MAX(0,MIN(R73,$B$14)-$B$13)*$B$12</f>
        <v/>
      </c>
      <c r="X73" s="34">
        <f>MAX(0,MIN(R73,$B$16)-$B$14)*$B$15</f>
        <v/>
      </c>
      <c r="Y73" s="34">
        <f>MIN(R73,$B$18)*$B$17</f>
        <v/>
      </c>
      <c r="Z73" s="34">
        <f>R73*$B$11</f>
        <v/>
      </c>
      <c r="AA73" s="98">
        <f>IF('Care Team'!N14="",I73,'Care Team'!N14)</f>
        <v/>
      </c>
      <c r="AB73" s="96">
        <f>IF(OR(F73="",D73&lt;&gt;1),"",IF(SUMPRODUCT(($E$70:$E$84=E73)*($D$70:$D$84=1)*($AC$70:$AC$84&lt;&gt;AC73))&gt;0,"Vacation % differs across this person's active components.",""))</f>
        <v/>
      </c>
      <c r="AC73" s="98">
        <f>IF(D73&lt;&gt;1,"",IF(AA73="",$B$19,AA73))</f>
        <v/>
      </c>
      <c r="AD73" s="97">
        <f>IF('Care Team'!J14="",0,1)+COUNT('Care Team'!K14)+COUNT('Care Team'!L14)+COUNT('Care Team'!M14)+COUNT('Care Team'!N14)</f>
        <v/>
      </c>
    </row>
    <row r="74">
      <c r="A74" s="96" t="n">
        <v>5</v>
      </c>
      <c r="B74" s="96">
        <f>IF('Care Team'!B15="","",'Care Team'!B15)</f>
        <v/>
      </c>
      <c r="C74" s="96">
        <f>IF(AND(TRIM('Care Team'!B15)&lt;&gt;"",OR(UPPER(TRIM('Care Team'!E15&amp;""))="SCHEDULED",UPPER(TRIM('Care Team'!E15&amp;""))="CASUAL")),1,0)</f>
        <v/>
      </c>
      <c r="D74" s="96">
        <f>IF(AND(TRIM('Care Team'!B15)&lt;&gt;"",OR(UPPER(TRIM((IF('Care Team'!J15="",'Care Team'!E15,'Care Team'!J15))&amp;""))="SCHEDULED",UPPER(TRIM((IF('Care Team'!J15="",'Care Team'!E15,'Care Team'!J15))&amp;""))="CASUAL")),1,0)</f>
        <v/>
      </c>
      <c r="E74" s="96">
        <f>IF(OR(C74=1,D74=1),TRIM(B74),"")</f>
        <v/>
      </c>
      <c r="F74" s="96">
        <f>IF(E74="","",IF(COUNTIF($E$70:E74,E74)=1,ROW(),""))</f>
        <v/>
      </c>
      <c r="G74" s="34">
        <f>IF(C74=1,IFERROR('Care Team'!F15*'Care Team'!G15,0),0)</f>
        <v/>
      </c>
      <c r="H74" s="34">
        <f>IF(D74=1,IFERROR((IF('Care Team'!K15="",'Care Team'!F15,'Care Team'!K15))*(IF('Care Team'!L15="",'Care Team'!G15,'Care Team'!L15)),0),0)</f>
        <v/>
      </c>
      <c r="I74" s="98">
        <f>IF('Care Team'!I15="","",'Care Team'!I15)</f>
        <v/>
      </c>
      <c r="J74" s="34">
        <f>IF(E74="","",G74*$B$6+G74*$B$6*$B$20+(G74/7)*$B$22*$B$21+(G74*$B$6+G74*$B$6*$B$20+(G74/7)*$B$22*$B$21)*IF(I74="",$B$19,I74))</f>
        <v/>
      </c>
      <c r="K74" s="34">
        <f>IF(E74="","",H74*$B$6+H74*$B$6*$B$20+(H74/7)*$B$22*$B$21+(H74*$B$6+H74*$B$6*$B$20+(H74/7)*$B$22*$B$21)*IF(AA74="",$B$19,AA74))</f>
        <v/>
      </c>
      <c r="L74" s="96">
        <f>IF(C74=1,IFERROR('Care Team'!H15,0),0)</f>
        <v/>
      </c>
      <c r="M74" s="96">
        <f>IF(D74=1,IFERROR(IF('Care Team'!M15="",'Care Team'!H15,'Care Team'!M15),0),0)</f>
        <v/>
      </c>
      <c r="N74" s="96">
        <f>'Care Team'!D15</f>
        <v/>
      </c>
      <c r="O74" s="96">
        <f>IF(C74=1,IFERROR('Care Team'!F15,0),0)</f>
        <v/>
      </c>
      <c r="P74" s="96">
        <f>IF(D74=1,IFERROR(IF('Care Team'!K15="",'Care Team'!F15,'Care Team'!K15),0),0)</f>
        <v/>
      </c>
      <c r="Q74" s="34">
        <f>IF(OR(F74="",COUNT($F$70:F74)&gt;20),0,SUMIF($E$70:$E$84,E74,$J$70:$J$84))</f>
        <v/>
      </c>
      <c r="R74" s="34">
        <f>IF(OR(F74="",COUNT($F$70:F74)&gt;20),0,SUMIF($E$70:$E$84,E74,$K$70:$K$84))</f>
        <v/>
      </c>
      <c r="S74" s="34">
        <f>MAX(0,MIN(Q74,$B$14)-$B$13)*$B$12</f>
        <v/>
      </c>
      <c r="T74" s="34">
        <f>MAX(0,MIN(Q74,$B$16)-$B$14)*$B$15</f>
        <v/>
      </c>
      <c r="U74" s="34">
        <f>MIN(Q74,$B$18)*$B$17</f>
        <v/>
      </c>
      <c r="V74" s="34">
        <f>Q74*$B$11</f>
        <v/>
      </c>
      <c r="W74" s="34">
        <f>MAX(0,MIN(R74,$B$14)-$B$13)*$B$12</f>
        <v/>
      </c>
      <c r="X74" s="34">
        <f>MAX(0,MIN(R74,$B$16)-$B$14)*$B$15</f>
        <v/>
      </c>
      <c r="Y74" s="34">
        <f>MIN(R74,$B$18)*$B$17</f>
        <v/>
      </c>
      <c r="Z74" s="34">
        <f>R74*$B$11</f>
        <v/>
      </c>
      <c r="AA74" s="98">
        <f>IF('Care Team'!N15="",I74,'Care Team'!N15)</f>
        <v/>
      </c>
      <c r="AB74" s="96">
        <f>IF(OR(F74="",D74&lt;&gt;1),"",IF(SUMPRODUCT(($E$70:$E$84=E74)*($D$70:$D$84=1)*($AC$70:$AC$84&lt;&gt;AC74))&gt;0,"Vacation % differs across this person's active components.",""))</f>
        <v/>
      </c>
      <c r="AC74" s="98">
        <f>IF(D74&lt;&gt;1,"",IF(AA74="",$B$19,AA74))</f>
        <v/>
      </c>
      <c r="AD74" s="97">
        <f>IF('Care Team'!J15="",0,1)+COUNT('Care Team'!K15)+COUNT('Care Team'!L15)+COUNT('Care Team'!M15)+COUNT('Care Team'!N15)</f>
        <v/>
      </c>
    </row>
    <row r="75">
      <c r="A75" s="96" t="n">
        <v>6</v>
      </c>
      <c r="B75" s="96">
        <f>IF('Care Team'!B16="","",'Care Team'!B16)</f>
        <v/>
      </c>
      <c r="C75" s="96">
        <f>IF(AND(TRIM('Care Team'!B16)&lt;&gt;"",OR(UPPER(TRIM('Care Team'!E16&amp;""))="SCHEDULED",UPPER(TRIM('Care Team'!E16&amp;""))="CASUAL")),1,0)</f>
        <v/>
      </c>
      <c r="D75" s="96">
        <f>IF(AND(TRIM('Care Team'!B16)&lt;&gt;"",OR(UPPER(TRIM((IF('Care Team'!J16="",'Care Team'!E16,'Care Team'!J16))&amp;""))="SCHEDULED",UPPER(TRIM((IF('Care Team'!J16="",'Care Team'!E16,'Care Team'!J16))&amp;""))="CASUAL")),1,0)</f>
        <v/>
      </c>
      <c r="E75" s="96">
        <f>IF(OR(C75=1,D75=1),TRIM(B75),"")</f>
        <v/>
      </c>
      <c r="F75" s="96">
        <f>IF(E75="","",IF(COUNTIF($E$70:E75,E75)=1,ROW(),""))</f>
        <v/>
      </c>
      <c r="G75" s="34">
        <f>IF(C75=1,IFERROR('Care Team'!F16*'Care Team'!G16,0),0)</f>
        <v/>
      </c>
      <c r="H75" s="34">
        <f>IF(D75=1,IFERROR((IF('Care Team'!K16="",'Care Team'!F16,'Care Team'!K16))*(IF('Care Team'!L16="",'Care Team'!G16,'Care Team'!L16)),0),0)</f>
        <v/>
      </c>
      <c r="I75" s="98">
        <f>IF('Care Team'!I16="","",'Care Team'!I16)</f>
        <v/>
      </c>
      <c r="J75" s="34">
        <f>IF(E75="","",G75*$B$6+G75*$B$6*$B$20+(G75/7)*$B$22*$B$21+(G75*$B$6+G75*$B$6*$B$20+(G75/7)*$B$22*$B$21)*IF(I75="",$B$19,I75))</f>
        <v/>
      </c>
      <c r="K75" s="34">
        <f>IF(E75="","",H75*$B$6+H75*$B$6*$B$20+(H75/7)*$B$22*$B$21+(H75*$B$6+H75*$B$6*$B$20+(H75/7)*$B$22*$B$21)*IF(AA75="",$B$19,AA75))</f>
        <v/>
      </c>
      <c r="L75" s="96">
        <f>IF(C75=1,IFERROR('Care Team'!H16,0),0)</f>
        <v/>
      </c>
      <c r="M75" s="96">
        <f>IF(D75=1,IFERROR(IF('Care Team'!M16="",'Care Team'!H16,'Care Team'!M16),0),0)</f>
        <v/>
      </c>
      <c r="N75" s="96">
        <f>'Care Team'!D16</f>
        <v/>
      </c>
      <c r="O75" s="96">
        <f>IF(C75=1,IFERROR('Care Team'!F16,0),0)</f>
        <v/>
      </c>
      <c r="P75" s="96">
        <f>IF(D75=1,IFERROR(IF('Care Team'!K16="",'Care Team'!F16,'Care Team'!K16),0),0)</f>
        <v/>
      </c>
      <c r="Q75" s="34">
        <f>IF(OR(F75="",COUNT($F$70:F75)&gt;20),0,SUMIF($E$70:$E$84,E75,$J$70:$J$84))</f>
        <v/>
      </c>
      <c r="R75" s="34">
        <f>IF(OR(F75="",COUNT($F$70:F75)&gt;20),0,SUMIF($E$70:$E$84,E75,$K$70:$K$84))</f>
        <v/>
      </c>
      <c r="S75" s="34">
        <f>MAX(0,MIN(Q75,$B$14)-$B$13)*$B$12</f>
        <v/>
      </c>
      <c r="T75" s="34">
        <f>MAX(0,MIN(Q75,$B$16)-$B$14)*$B$15</f>
        <v/>
      </c>
      <c r="U75" s="34">
        <f>MIN(Q75,$B$18)*$B$17</f>
        <v/>
      </c>
      <c r="V75" s="34">
        <f>Q75*$B$11</f>
        <v/>
      </c>
      <c r="W75" s="34">
        <f>MAX(0,MIN(R75,$B$14)-$B$13)*$B$12</f>
        <v/>
      </c>
      <c r="X75" s="34">
        <f>MAX(0,MIN(R75,$B$16)-$B$14)*$B$15</f>
        <v/>
      </c>
      <c r="Y75" s="34">
        <f>MIN(R75,$B$18)*$B$17</f>
        <v/>
      </c>
      <c r="Z75" s="34">
        <f>R75*$B$11</f>
        <v/>
      </c>
      <c r="AA75" s="98">
        <f>IF('Care Team'!N16="",I75,'Care Team'!N16)</f>
        <v/>
      </c>
      <c r="AB75" s="96">
        <f>IF(OR(F75="",D75&lt;&gt;1),"",IF(SUMPRODUCT(($E$70:$E$84=E75)*($D$70:$D$84=1)*($AC$70:$AC$84&lt;&gt;AC75))&gt;0,"Vacation % differs across this person's active components.",""))</f>
        <v/>
      </c>
      <c r="AC75" s="98">
        <f>IF(D75&lt;&gt;1,"",IF(AA75="",$B$19,AA75))</f>
        <v/>
      </c>
      <c r="AD75" s="97">
        <f>IF('Care Team'!J16="",0,1)+COUNT('Care Team'!K16)+COUNT('Care Team'!L16)+COUNT('Care Team'!M16)+COUNT('Care Team'!N16)</f>
        <v/>
      </c>
    </row>
    <row r="76">
      <c r="A76" s="96" t="n">
        <v>7</v>
      </c>
      <c r="B76" s="96">
        <f>IF('Care Team'!B17="","",'Care Team'!B17)</f>
        <v/>
      </c>
      <c r="C76" s="96">
        <f>IF(AND(TRIM('Care Team'!B17)&lt;&gt;"",OR(UPPER(TRIM('Care Team'!E17&amp;""))="SCHEDULED",UPPER(TRIM('Care Team'!E17&amp;""))="CASUAL")),1,0)</f>
        <v/>
      </c>
      <c r="D76" s="96">
        <f>IF(AND(TRIM('Care Team'!B17)&lt;&gt;"",OR(UPPER(TRIM((IF('Care Team'!J17="",'Care Team'!E17,'Care Team'!J17))&amp;""))="SCHEDULED",UPPER(TRIM((IF('Care Team'!J17="",'Care Team'!E17,'Care Team'!J17))&amp;""))="CASUAL")),1,0)</f>
        <v/>
      </c>
      <c r="E76" s="96">
        <f>IF(OR(C76=1,D76=1),TRIM(B76),"")</f>
        <v/>
      </c>
      <c r="F76" s="96">
        <f>IF(E76="","",IF(COUNTIF($E$70:E76,E76)=1,ROW(),""))</f>
        <v/>
      </c>
      <c r="G76" s="34">
        <f>IF(C76=1,IFERROR('Care Team'!F17*'Care Team'!G17,0),0)</f>
        <v/>
      </c>
      <c r="H76" s="34">
        <f>IF(D76=1,IFERROR((IF('Care Team'!K17="",'Care Team'!F17,'Care Team'!K17))*(IF('Care Team'!L17="",'Care Team'!G17,'Care Team'!L17)),0),0)</f>
        <v/>
      </c>
      <c r="I76" s="98">
        <f>IF('Care Team'!I17="","",'Care Team'!I17)</f>
        <v/>
      </c>
      <c r="J76" s="34">
        <f>IF(E76="","",G76*$B$6+G76*$B$6*$B$20+(G76/7)*$B$22*$B$21+(G76*$B$6+G76*$B$6*$B$20+(G76/7)*$B$22*$B$21)*IF(I76="",$B$19,I76))</f>
        <v/>
      </c>
      <c r="K76" s="34">
        <f>IF(E76="","",H76*$B$6+H76*$B$6*$B$20+(H76/7)*$B$22*$B$21+(H76*$B$6+H76*$B$6*$B$20+(H76/7)*$B$22*$B$21)*IF(AA76="",$B$19,AA76))</f>
        <v/>
      </c>
      <c r="L76" s="96">
        <f>IF(C76=1,IFERROR('Care Team'!H17,0),0)</f>
        <v/>
      </c>
      <c r="M76" s="96">
        <f>IF(D76=1,IFERROR(IF('Care Team'!M17="",'Care Team'!H17,'Care Team'!M17),0),0)</f>
        <v/>
      </c>
      <c r="N76" s="96">
        <f>'Care Team'!D17</f>
        <v/>
      </c>
      <c r="O76" s="96">
        <f>IF(C76=1,IFERROR('Care Team'!F17,0),0)</f>
        <v/>
      </c>
      <c r="P76" s="96">
        <f>IF(D76=1,IFERROR(IF('Care Team'!K17="",'Care Team'!F17,'Care Team'!K17),0),0)</f>
        <v/>
      </c>
      <c r="Q76" s="34">
        <f>IF(OR(F76="",COUNT($F$70:F76)&gt;20),0,SUMIF($E$70:$E$84,E76,$J$70:$J$84))</f>
        <v/>
      </c>
      <c r="R76" s="34">
        <f>IF(OR(F76="",COUNT($F$70:F76)&gt;20),0,SUMIF($E$70:$E$84,E76,$K$70:$K$84))</f>
        <v/>
      </c>
      <c r="S76" s="34">
        <f>MAX(0,MIN(Q76,$B$14)-$B$13)*$B$12</f>
        <v/>
      </c>
      <c r="T76" s="34">
        <f>MAX(0,MIN(Q76,$B$16)-$B$14)*$B$15</f>
        <v/>
      </c>
      <c r="U76" s="34">
        <f>MIN(Q76,$B$18)*$B$17</f>
        <v/>
      </c>
      <c r="V76" s="34">
        <f>Q76*$B$11</f>
        <v/>
      </c>
      <c r="W76" s="34">
        <f>MAX(0,MIN(R76,$B$14)-$B$13)*$B$12</f>
        <v/>
      </c>
      <c r="X76" s="34">
        <f>MAX(0,MIN(R76,$B$16)-$B$14)*$B$15</f>
        <v/>
      </c>
      <c r="Y76" s="34">
        <f>MIN(R76,$B$18)*$B$17</f>
        <v/>
      </c>
      <c r="Z76" s="34">
        <f>R76*$B$11</f>
        <v/>
      </c>
      <c r="AA76" s="98">
        <f>IF('Care Team'!N17="",I76,'Care Team'!N17)</f>
        <v/>
      </c>
      <c r="AB76" s="96">
        <f>IF(OR(F76="",D76&lt;&gt;1),"",IF(SUMPRODUCT(($E$70:$E$84=E76)*($D$70:$D$84=1)*($AC$70:$AC$84&lt;&gt;AC76))&gt;0,"Vacation % differs across this person's active components.",""))</f>
        <v/>
      </c>
      <c r="AC76" s="98">
        <f>IF(D76&lt;&gt;1,"",IF(AA76="",$B$19,AA76))</f>
        <v/>
      </c>
      <c r="AD76" s="97">
        <f>IF('Care Team'!J17="",0,1)+COUNT('Care Team'!K17)+COUNT('Care Team'!L17)+COUNT('Care Team'!M17)+COUNT('Care Team'!N17)</f>
        <v/>
      </c>
    </row>
    <row r="77">
      <c r="A77" s="96" t="n">
        <v>8</v>
      </c>
      <c r="B77" s="96">
        <f>IF('Care Team'!B18="","",'Care Team'!B18)</f>
        <v/>
      </c>
      <c r="C77" s="96">
        <f>IF(AND(TRIM('Care Team'!B18)&lt;&gt;"",OR(UPPER(TRIM('Care Team'!E18&amp;""))="SCHEDULED",UPPER(TRIM('Care Team'!E18&amp;""))="CASUAL")),1,0)</f>
        <v/>
      </c>
      <c r="D77" s="96">
        <f>IF(AND(TRIM('Care Team'!B18)&lt;&gt;"",OR(UPPER(TRIM((IF('Care Team'!J18="",'Care Team'!E18,'Care Team'!J18))&amp;""))="SCHEDULED",UPPER(TRIM((IF('Care Team'!J18="",'Care Team'!E18,'Care Team'!J18))&amp;""))="CASUAL")),1,0)</f>
        <v/>
      </c>
      <c r="E77" s="96">
        <f>IF(OR(C77=1,D77=1),TRIM(B77),"")</f>
        <v/>
      </c>
      <c r="F77" s="96">
        <f>IF(E77="","",IF(COUNTIF($E$70:E77,E77)=1,ROW(),""))</f>
        <v/>
      </c>
      <c r="G77" s="34">
        <f>IF(C77=1,IFERROR('Care Team'!F18*'Care Team'!G18,0),0)</f>
        <v/>
      </c>
      <c r="H77" s="34">
        <f>IF(D77=1,IFERROR((IF('Care Team'!K18="",'Care Team'!F18,'Care Team'!K18))*(IF('Care Team'!L18="",'Care Team'!G18,'Care Team'!L18)),0),0)</f>
        <v/>
      </c>
      <c r="I77" s="98">
        <f>IF('Care Team'!I18="","",'Care Team'!I18)</f>
        <v/>
      </c>
      <c r="J77" s="34">
        <f>IF(E77="","",G77*$B$6+G77*$B$6*$B$20+(G77/7)*$B$22*$B$21+(G77*$B$6+G77*$B$6*$B$20+(G77/7)*$B$22*$B$21)*IF(I77="",$B$19,I77))</f>
        <v/>
      </c>
      <c r="K77" s="34">
        <f>IF(E77="","",H77*$B$6+H77*$B$6*$B$20+(H77/7)*$B$22*$B$21+(H77*$B$6+H77*$B$6*$B$20+(H77/7)*$B$22*$B$21)*IF(AA77="",$B$19,AA77))</f>
        <v/>
      </c>
      <c r="L77" s="96">
        <f>IF(C77=1,IFERROR('Care Team'!H18,0),0)</f>
        <v/>
      </c>
      <c r="M77" s="96">
        <f>IF(D77=1,IFERROR(IF('Care Team'!M18="",'Care Team'!H18,'Care Team'!M18),0),0)</f>
        <v/>
      </c>
      <c r="N77" s="96">
        <f>'Care Team'!D18</f>
        <v/>
      </c>
      <c r="O77" s="96">
        <f>IF(C77=1,IFERROR('Care Team'!F18,0),0)</f>
        <v/>
      </c>
      <c r="P77" s="96">
        <f>IF(D77=1,IFERROR(IF('Care Team'!K18="",'Care Team'!F18,'Care Team'!K18),0),0)</f>
        <v/>
      </c>
      <c r="Q77" s="34">
        <f>IF(OR(F77="",COUNT($F$70:F77)&gt;20),0,SUMIF($E$70:$E$84,E77,$J$70:$J$84))</f>
        <v/>
      </c>
      <c r="R77" s="34">
        <f>IF(OR(F77="",COUNT($F$70:F77)&gt;20),0,SUMIF($E$70:$E$84,E77,$K$70:$K$84))</f>
        <v/>
      </c>
      <c r="S77" s="34">
        <f>MAX(0,MIN(Q77,$B$14)-$B$13)*$B$12</f>
        <v/>
      </c>
      <c r="T77" s="34">
        <f>MAX(0,MIN(Q77,$B$16)-$B$14)*$B$15</f>
        <v/>
      </c>
      <c r="U77" s="34">
        <f>MIN(Q77,$B$18)*$B$17</f>
        <v/>
      </c>
      <c r="V77" s="34">
        <f>Q77*$B$11</f>
        <v/>
      </c>
      <c r="W77" s="34">
        <f>MAX(0,MIN(R77,$B$14)-$B$13)*$B$12</f>
        <v/>
      </c>
      <c r="X77" s="34">
        <f>MAX(0,MIN(R77,$B$16)-$B$14)*$B$15</f>
        <v/>
      </c>
      <c r="Y77" s="34">
        <f>MIN(R77,$B$18)*$B$17</f>
        <v/>
      </c>
      <c r="Z77" s="34">
        <f>R77*$B$11</f>
        <v/>
      </c>
      <c r="AA77" s="98">
        <f>IF('Care Team'!N18="",I77,'Care Team'!N18)</f>
        <v/>
      </c>
      <c r="AB77" s="96">
        <f>IF(OR(F77="",D77&lt;&gt;1),"",IF(SUMPRODUCT(($E$70:$E$84=E77)*($D$70:$D$84=1)*($AC$70:$AC$84&lt;&gt;AC77))&gt;0,"Vacation % differs across this person's active components.",""))</f>
        <v/>
      </c>
      <c r="AC77" s="98">
        <f>IF(D77&lt;&gt;1,"",IF(AA77="",$B$19,AA77))</f>
        <v/>
      </c>
      <c r="AD77" s="97">
        <f>IF('Care Team'!J18="",0,1)+COUNT('Care Team'!K18)+COUNT('Care Team'!L18)+COUNT('Care Team'!M18)+COUNT('Care Team'!N18)</f>
        <v/>
      </c>
    </row>
    <row r="78">
      <c r="A78" s="96" t="n">
        <v>9</v>
      </c>
      <c r="B78" s="96">
        <f>IF('Care Team'!B19="","",'Care Team'!B19)</f>
        <v/>
      </c>
      <c r="C78" s="96">
        <f>IF(AND(TRIM('Care Team'!B19)&lt;&gt;"",OR(UPPER(TRIM('Care Team'!E19&amp;""))="SCHEDULED",UPPER(TRIM('Care Team'!E19&amp;""))="CASUAL")),1,0)</f>
        <v/>
      </c>
      <c r="D78" s="96">
        <f>IF(AND(TRIM('Care Team'!B19)&lt;&gt;"",OR(UPPER(TRIM((IF('Care Team'!J19="",'Care Team'!E19,'Care Team'!J19))&amp;""))="SCHEDULED",UPPER(TRIM((IF('Care Team'!J19="",'Care Team'!E19,'Care Team'!J19))&amp;""))="CASUAL")),1,0)</f>
        <v/>
      </c>
      <c r="E78" s="96">
        <f>IF(OR(C78=1,D78=1),TRIM(B78),"")</f>
        <v/>
      </c>
      <c r="F78" s="96">
        <f>IF(E78="","",IF(COUNTIF($E$70:E78,E78)=1,ROW(),""))</f>
        <v/>
      </c>
      <c r="G78" s="34">
        <f>IF(C78=1,IFERROR('Care Team'!F19*'Care Team'!G19,0),0)</f>
        <v/>
      </c>
      <c r="H78" s="34">
        <f>IF(D78=1,IFERROR((IF('Care Team'!K19="",'Care Team'!F19,'Care Team'!K19))*(IF('Care Team'!L19="",'Care Team'!G19,'Care Team'!L19)),0),0)</f>
        <v/>
      </c>
      <c r="I78" s="98">
        <f>IF('Care Team'!I19="","",'Care Team'!I19)</f>
        <v/>
      </c>
      <c r="J78" s="34">
        <f>IF(E78="","",G78*$B$6+G78*$B$6*$B$20+(G78/7)*$B$22*$B$21+(G78*$B$6+G78*$B$6*$B$20+(G78/7)*$B$22*$B$21)*IF(I78="",$B$19,I78))</f>
        <v/>
      </c>
      <c r="K78" s="34">
        <f>IF(E78="","",H78*$B$6+H78*$B$6*$B$20+(H78/7)*$B$22*$B$21+(H78*$B$6+H78*$B$6*$B$20+(H78/7)*$B$22*$B$21)*IF(AA78="",$B$19,AA78))</f>
        <v/>
      </c>
      <c r="L78" s="96">
        <f>IF(C78=1,IFERROR('Care Team'!H19,0),0)</f>
        <v/>
      </c>
      <c r="M78" s="96">
        <f>IF(D78=1,IFERROR(IF('Care Team'!M19="",'Care Team'!H19,'Care Team'!M19),0),0)</f>
        <v/>
      </c>
      <c r="N78" s="96">
        <f>'Care Team'!D19</f>
        <v/>
      </c>
      <c r="O78" s="96">
        <f>IF(C78=1,IFERROR('Care Team'!F19,0),0)</f>
        <v/>
      </c>
      <c r="P78" s="96">
        <f>IF(D78=1,IFERROR(IF('Care Team'!K19="",'Care Team'!F19,'Care Team'!K19),0),0)</f>
        <v/>
      </c>
      <c r="Q78" s="34">
        <f>IF(OR(F78="",COUNT($F$70:F78)&gt;20),0,SUMIF($E$70:$E$84,E78,$J$70:$J$84))</f>
        <v/>
      </c>
      <c r="R78" s="34">
        <f>IF(OR(F78="",COUNT($F$70:F78)&gt;20),0,SUMIF($E$70:$E$84,E78,$K$70:$K$84))</f>
        <v/>
      </c>
      <c r="S78" s="34">
        <f>MAX(0,MIN(Q78,$B$14)-$B$13)*$B$12</f>
        <v/>
      </c>
      <c r="T78" s="34">
        <f>MAX(0,MIN(Q78,$B$16)-$B$14)*$B$15</f>
        <v/>
      </c>
      <c r="U78" s="34">
        <f>MIN(Q78,$B$18)*$B$17</f>
        <v/>
      </c>
      <c r="V78" s="34">
        <f>Q78*$B$11</f>
        <v/>
      </c>
      <c r="W78" s="34">
        <f>MAX(0,MIN(R78,$B$14)-$B$13)*$B$12</f>
        <v/>
      </c>
      <c r="X78" s="34">
        <f>MAX(0,MIN(R78,$B$16)-$B$14)*$B$15</f>
        <v/>
      </c>
      <c r="Y78" s="34">
        <f>MIN(R78,$B$18)*$B$17</f>
        <v/>
      </c>
      <c r="Z78" s="34">
        <f>R78*$B$11</f>
        <v/>
      </c>
      <c r="AA78" s="98">
        <f>IF('Care Team'!N19="",I78,'Care Team'!N19)</f>
        <v/>
      </c>
      <c r="AB78" s="96">
        <f>IF(OR(F78="",D78&lt;&gt;1),"",IF(SUMPRODUCT(($E$70:$E$84=E78)*($D$70:$D$84=1)*($AC$70:$AC$84&lt;&gt;AC78))&gt;0,"Vacation % differs across this person's active components.",""))</f>
        <v/>
      </c>
      <c r="AC78" s="98">
        <f>IF(D78&lt;&gt;1,"",IF(AA78="",$B$19,AA78))</f>
        <v/>
      </c>
      <c r="AD78" s="97">
        <f>IF('Care Team'!J19="",0,1)+COUNT('Care Team'!K19)+COUNT('Care Team'!L19)+COUNT('Care Team'!M19)+COUNT('Care Team'!N19)</f>
        <v/>
      </c>
    </row>
    <row r="79">
      <c r="A79" s="96" t="n">
        <v>10</v>
      </c>
      <c r="B79" s="96">
        <f>IF('Care Team'!B20="","",'Care Team'!B20)</f>
        <v/>
      </c>
      <c r="C79" s="96">
        <f>IF(AND(TRIM('Care Team'!B20)&lt;&gt;"",OR(UPPER(TRIM('Care Team'!E20&amp;""))="SCHEDULED",UPPER(TRIM('Care Team'!E20&amp;""))="CASUAL")),1,0)</f>
        <v/>
      </c>
      <c r="D79" s="96">
        <f>IF(AND(TRIM('Care Team'!B20)&lt;&gt;"",OR(UPPER(TRIM((IF('Care Team'!J20="",'Care Team'!E20,'Care Team'!J20))&amp;""))="SCHEDULED",UPPER(TRIM((IF('Care Team'!J20="",'Care Team'!E20,'Care Team'!J20))&amp;""))="CASUAL")),1,0)</f>
        <v/>
      </c>
      <c r="E79" s="96">
        <f>IF(OR(C79=1,D79=1),TRIM(B79),"")</f>
        <v/>
      </c>
      <c r="F79" s="96">
        <f>IF(E79="","",IF(COUNTIF($E$70:E79,E79)=1,ROW(),""))</f>
        <v/>
      </c>
      <c r="G79" s="34">
        <f>IF(C79=1,IFERROR('Care Team'!F20*'Care Team'!G20,0),0)</f>
        <v/>
      </c>
      <c r="H79" s="34">
        <f>IF(D79=1,IFERROR((IF('Care Team'!K20="",'Care Team'!F20,'Care Team'!K20))*(IF('Care Team'!L20="",'Care Team'!G20,'Care Team'!L20)),0),0)</f>
        <v/>
      </c>
      <c r="I79" s="98">
        <f>IF('Care Team'!I20="","",'Care Team'!I20)</f>
        <v/>
      </c>
      <c r="J79" s="34">
        <f>IF(E79="","",G79*$B$6+G79*$B$6*$B$20+(G79/7)*$B$22*$B$21+(G79*$B$6+G79*$B$6*$B$20+(G79/7)*$B$22*$B$21)*IF(I79="",$B$19,I79))</f>
        <v/>
      </c>
      <c r="K79" s="34">
        <f>IF(E79="","",H79*$B$6+H79*$B$6*$B$20+(H79/7)*$B$22*$B$21+(H79*$B$6+H79*$B$6*$B$20+(H79/7)*$B$22*$B$21)*IF(AA79="",$B$19,AA79))</f>
        <v/>
      </c>
      <c r="L79" s="96">
        <f>IF(C79=1,IFERROR('Care Team'!H20,0),0)</f>
        <v/>
      </c>
      <c r="M79" s="96">
        <f>IF(D79=1,IFERROR(IF('Care Team'!M20="",'Care Team'!H20,'Care Team'!M20),0),0)</f>
        <v/>
      </c>
      <c r="N79" s="96">
        <f>'Care Team'!D20</f>
        <v/>
      </c>
      <c r="O79" s="96">
        <f>IF(C79=1,IFERROR('Care Team'!F20,0),0)</f>
        <v/>
      </c>
      <c r="P79" s="96">
        <f>IF(D79=1,IFERROR(IF('Care Team'!K20="",'Care Team'!F20,'Care Team'!K20),0),0)</f>
        <v/>
      </c>
      <c r="Q79" s="34">
        <f>IF(OR(F79="",COUNT($F$70:F79)&gt;20),0,SUMIF($E$70:$E$84,E79,$J$70:$J$84))</f>
        <v/>
      </c>
      <c r="R79" s="34">
        <f>IF(OR(F79="",COUNT($F$70:F79)&gt;20),0,SUMIF($E$70:$E$84,E79,$K$70:$K$84))</f>
        <v/>
      </c>
      <c r="S79" s="34">
        <f>MAX(0,MIN(Q79,$B$14)-$B$13)*$B$12</f>
        <v/>
      </c>
      <c r="T79" s="34">
        <f>MAX(0,MIN(Q79,$B$16)-$B$14)*$B$15</f>
        <v/>
      </c>
      <c r="U79" s="34">
        <f>MIN(Q79,$B$18)*$B$17</f>
        <v/>
      </c>
      <c r="V79" s="34">
        <f>Q79*$B$11</f>
        <v/>
      </c>
      <c r="W79" s="34">
        <f>MAX(0,MIN(R79,$B$14)-$B$13)*$B$12</f>
        <v/>
      </c>
      <c r="X79" s="34">
        <f>MAX(0,MIN(R79,$B$16)-$B$14)*$B$15</f>
        <v/>
      </c>
      <c r="Y79" s="34">
        <f>MIN(R79,$B$18)*$B$17</f>
        <v/>
      </c>
      <c r="Z79" s="34">
        <f>R79*$B$11</f>
        <v/>
      </c>
      <c r="AA79" s="98">
        <f>IF('Care Team'!N20="",I79,'Care Team'!N20)</f>
        <v/>
      </c>
      <c r="AB79" s="96">
        <f>IF(OR(F79="",D79&lt;&gt;1),"",IF(SUMPRODUCT(($E$70:$E$84=E79)*($D$70:$D$84=1)*($AC$70:$AC$84&lt;&gt;AC79))&gt;0,"Vacation % differs across this person's active components.",""))</f>
        <v/>
      </c>
      <c r="AC79" s="98">
        <f>IF(D79&lt;&gt;1,"",IF(AA79="",$B$19,AA79))</f>
        <v/>
      </c>
      <c r="AD79" s="97">
        <f>IF('Care Team'!J20="",0,1)+COUNT('Care Team'!K20)+COUNT('Care Team'!L20)+COUNT('Care Team'!M20)+COUNT('Care Team'!N20)</f>
        <v/>
      </c>
    </row>
    <row r="80">
      <c r="A80" s="96" t="n">
        <v>11</v>
      </c>
      <c r="B80" s="96">
        <f>IF('Care Team'!B21="","",'Care Team'!B21)</f>
        <v/>
      </c>
      <c r="C80" s="96">
        <f>IF(AND(TRIM('Care Team'!B21)&lt;&gt;"",OR(UPPER(TRIM('Care Team'!E21&amp;""))="SCHEDULED",UPPER(TRIM('Care Team'!E21&amp;""))="CASUAL")),1,0)</f>
        <v/>
      </c>
      <c r="D80" s="96">
        <f>IF(AND(TRIM('Care Team'!B21)&lt;&gt;"",OR(UPPER(TRIM((IF('Care Team'!J21="",'Care Team'!E21,'Care Team'!J21))&amp;""))="SCHEDULED",UPPER(TRIM((IF('Care Team'!J21="",'Care Team'!E21,'Care Team'!J21))&amp;""))="CASUAL")),1,0)</f>
        <v/>
      </c>
      <c r="E80" s="96">
        <f>IF(OR(C80=1,D80=1),TRIM(B80),"")</f>
        <v/>
      </c>
      <c r="F80" s="96">
        <f>IF(E80="","",IF(COUNTIF($E$70:E80,E80)=1,ROW(),""))</f>
        <v/>
      </c>
      <c r="G80" s="34">
        <f>IF(C80=1,IFERROR('Care Team'!F21*'Care Team'!G21,0),0)</f>
        <v/>
      </c>
      <c r="H80" s="34">
        <f>IF(D80=1,IFERROR((IF('Care Team'!K21="",'Care Team'!F21,'Care Team'!K21))*(IF('Care Team'!L21="",'Care Team'!G21,'Care Team'!L21)),0),0)</f>
        <v/>
      </c>
      <c r="I80" s="98">
        <f>IF('Care Team'!I21="","",'Care Team'!I21)</f>
        <v/>
      </c>
      <c r="J80" s="34">
        <f>IF(E80="","",G80*$B$6+G80*$B$6*$B$20+(G80/7)*$B$22*$B$21+(G80*$B$6+G80*$B$6*$B$20+(G80/7)*$B$22*$B$21)*IF(I80="",$B$19,I80))</f>
        <v/>
      </c>
      <c r="K80" s="34">
        <f>IF(E80="","",H80*$B$6+H80*$B$6*$B$20+(H80/7)*$B$22*$B$21+(H80*$B$6+H80*$B$6*$B$20+(H80/7)*$B$22*$B$21)*IF(AA80="",$B$19,AA80))</f>
        <v/>
      </c>
      <c r="L80" s="96">
        <f>IF(C80=1,IFERROR('Care Team'!H21,0),0)</f>
        <v/>
      </c>
      <c r="M80" s="96">
        <f>IF(D80=1,IFERROR(IF('Care Team'!M21="",'Care Team'!H21,'Care Team'!M21),0),0)</f>
        <v/>
      </c>
      <c r="N80" s="96">
        <f>'Care Team'!D21</f>
        <v/>
      </c>
      <c r="O80" s="96">
        <f>IF(C80=1,IFERROR('Care Team'!F21,0),0)</f>
        <v/>
      </c>
      <c r="P80" s="96">
        <f>IF(D80=1,IFERROR(IF('Care Team'!K21="",'Care Team'!F21,'Care Team'!K21),0),0)</f>
        <v/>
      </c>
      <c r="Q80" s="34">
        <f>IF(OR(F80="",COUNT($F$70:F80)&gt;20),0,SUMIF($E$70:$E$84,E80,$J$70:$J$84))</f>
        <v/>
      </c>
      <c r="R80" s="34">
        <f>IF(OR(F80="",COUNT($F$70:F80)&gt;20),0,SUMIF($E$70:$E$84,E80,$K$70:$K$84))</f>
        <v/>
      </c>
      <c r="S80" s="34">
        <f>MAX(0,MIN(Q80,$B$14)-$B$13)*$B$12</f>
        <v/>
      </c>
      <c r="T80" s="34">
        <f>MAX(0,MIN(Q80,$B$16)-$B$14)*$B$15</f>
        <v/>
      </c>
      <c r="U80" s="34">
        <f>MIN(Q80,$B$18)*$B$17</f>
        <v/>
      </c>
      <c r="V80" s="34">
        <f>Q80*$B$11</f>
        <v/>
      </c>
      <c r="W80" s="34">
        <f>MAX(0,MIN(R80,$B$14)-$B$13)*$B$12</f>
        <v/>
      </c>
      <c r="X80" s="34">
        <f>MAX(0,MIN(R80,$B$16)-$B$14)*$B$15</f>
        <v/>
      </c>
      <c r="Y80" s="34">
        <f>MIN(R80,$B$18)*$B$17</f>
        <v/>
      </c>
      <c r="Z80" s="34">
        <f>R80*$B$11</f>
        <v/>
      </c>
      <c r="AA80" s="98">
        <f>IF('Care Team'!N21="",I80,'Care Team'!N21)</f>
        <v/>
      </c>
      <c r="AB80" s="96">
        <f>IF(OR(F80="",D80&lt;&gt;1),"",IF(SUMPRODUCT(($E$70:$E$84=E80)*($D$70:$D$84=1)*($AC$70:$AC$84&lt;&gt;AC80))&gt;0,"Vacation % differs across this person's active components.",""))</f>
        <v/>
      </c>
      <c r="AC80" s="98">
        <f>IF(D80&lt;&gt;1,"",IF(AA80="",$B$19,AA80))</f>
        <v/>
      </c>
      <c r="AD80" s="97">
        <f>IF('Care Team'!J21="",0,1)+COUNT('Care Team'!K21)+COUNT('Care Team'!L21)+COUNT('Care Team'!M21)+COUNT('Care Team'!N21)</f>
        <v/>
      </c>
    </row>
    <row r="81">
      <c r="A81" s="96" t="n">
        <v>12</v>
      </c>
      <c r="B81" s="96">
        <f>IF('Care Team'!B22="","",'Care Team'!B22)</f>
        <v/>
      </c>
      <c r="C81" s="96">
        <f>IF(AND(TRIM('Care Team'!B22)&lt;&gt;"",OR(UPPER(TRIM('Care Team'!E22&amp;""))="SCHEDULED",UPPER(TRIM('Care Team'!E22&amp;""))="CASUAL")),1,0)</f>
        <v/>
      </c>
      <c r="D81" s="96">
        <f>IF(AND(TRIM('Care Team'!B22)&lt;&gt;"",OR(UPPER(TRIM((IF('Care Team'!J22="",'Care Team'!E22,'Care Team'!J22))&amp;""))="SCHEDULED",UPPER(TRIM((IF('Care Team'!J22="",'Care Team'!E22,'Care Team'!J22))&amp;""))="CASUAL")),1,0)</f>
        <v/>
      </c>
      <c r="E81" s="96">
        <f>IF(OR(C81=1,D81=1),TRIM(B81),"")</f>
        <v/>
      </c>
      <c r="F81" s="96">
        <f>IF(E81="","",IF(COUNTIF($E$70:E81,E81)=1,ROW(),""))</f>
        <v/>
      </c>
      <c r="G81" s="34">
        <f>IF(C81=1,IFERROR('Care Team'!F22*'Care Team'!G22,0),0)</f>
        <v/>
      </c>
      <c r="H81" s="34">
        <f>IF(D81=1,IFERROR((IF('Care Team'!K22="",'Care Team'!F22,'Care Team'!K22))*(IF('Care Team'!L22="",'Care Team'!G22,'Care Team'!L22)),0),0)</f>
        <v/>
      </c>
      <c r="I81" s="98">
        <f>IF('Care Team'!I22="","",'Care Team'!I22)</f>
        <v/>
      </c>
      <c r="J81" s="34">
        <f>IF(E81="","",G81*$B$6+G81*$B$6*$B$20+(G81/7)*$B$22*$B$21+(G81*$B$6+G81*$B$6*$B$20+(G81/7)*$B$22*$B$21)*IF(I81="",$B$19,I81))</f>
        <v/>
      </c>
      <c r="K81" s="34">
        <f>IF(E81="","",H81*$B$6+H81*$B$6*$B$20+(H81/7)*$B$22*$B$21+(H81*$B$6+H81*$B$6*$B$20+(H81/7)*$B$22*$B$21)*IF(AA81="",$B$19,AA81))</f>
        <v/>
      </c>
      <c r="L81" s="96">
        <f>IF(C81=1,IFERROR('Care Team'!H22,0),0)</f>
        <v/>
      </c>
      <c r="M81" s="96">
        <f>IF(D81=1,IFERROR(IF('Care Team'!M22="",'Care Team'!H22,'Care Team'!M22),0),0)</f>
        <v/>
      </c>
      <c r="N81" s="96">
        <f>'Care Team'!D22</f>
        <v/>
      </c>
      <c r="O81" s="96">
        <f>IF(C81=1,IFERROR('Care Team'!F22,0),0)</f>
        <v/>
      </c>
      <c r="P81" s="96">
        <f>IF(D81=1,IFERROR(IF('Care Team'!K22="",'Care Team'!F22,'Care Team'!K22),0),0)</f>
        <v/>
      </c>
      <c r="Q81" s="34">
        <f>IF(OR(F81="",COUNT($F$70:F81)&gt;20),0,SUMIF($E$70:$E$84,E81,$J$70:$J$84))</f>
        <v/>
      </c>
      <c r="R81" s="34">
        <f>IF(OR(F81="",COUNT($F$70:F81)&gt;20),0,SUMIF($E$70:$E$84,E81,$K$70:$K$84))</f>
        <v/>
      </c>
      <c r="S81" s="34">
        <f>MAX(0,MIN(Q81,$B$14)-$B$13)*$B$12</f>
        <v/>
      </c>
      <c r="T81" s="34">
        <f>MAX(0,MIN(Q81,$B$16)-$B$14)*$B$15</f>
        <v/>
      </c>
      <c r="U81" s="34">
        <f>MIN(Q81,$B$18)*$B$17</f>
        <v/>
      </c>
      <c r="V81" s="34">
        <f>Q81*$B$11</f>
        <v/>
      </c>
      <c r="W81" s="34">
        <f>MAX(0,MIN(R81,$B$14)-$B$13)*$B$12</f>
        <v/>
      </c>
      <c r="X81" s="34">
        <f>MAX(0,MIN(R81,$B$16)-$B$14)*$B$15</f>
        <v/>
      </c>
      <c r="Y81" s="34">
        <f>MIN(R81,$B$18)*$B$17</f>
        <v/>
      </c>
      <c r="Z81" s="34">
        <f>R81*$B$11</f>
        <v/>
      </c>
      <c r="AA81" s="98">
        <f>IF('Care Team'!N22="",I81,'Care Team'!N22)</f>
        <v/>
      </c>
      <c r="AB81" s="96">
        <f>IF(OR(F81="",D81&lt;&gt;1),"",IF(SUMPRODUCT(($E$70:$E$84=E81)*($D$70:$D$84=1)*($AC$70:$AC$84&lt;&gt;AC81))&gt;0,"Vacation % differs across this person's active components.",""))</f>
        <v/>
      </c>
      <c r="AC81" s="98">
        <f>IF(D81&lt;&gt;1,"",IF(AA81="",$B$19,AA81))</f>
        <v/>
      </c>
      <c r="AD81" s="97">
        <f>IF('Care Team'!J22="",0,1)+COUNT('Care Team'!K22)+COUNT('Care Team'!L22)+COUNT('Care Team'!M22)+COUNT('Care Team'!N22)</f>
        <v/>
      </c>
    </row>
    <row r="82">
      <c r="A82" s="96" t="n">
        <v>13</v>
      </c>
      <c r="B82" s="96">
        <f>IF('Care Team'!B23="","",'Care Team'!B23)</f>
        <v/>
      </c>
      <c r="C82" s="96">
        <f>IF(AND(TRIM('Care Team'!B23)&lt;&gt;"",OR(UPPER(TRIM('Care Team'!E23&amp;""))="SCHEDULED",UPPER(TRIM('Care Team'!E23&amp;""))="CASUAL")),1,0)</f>
        <v/>
      </c>
      <c r="D82" s="96">
        <f>IF(AND(TRIM('Care Team'!B23)&lt;&gt;"",OR(UPPER(TRIM((IF('Care Team'!J23="",'Care Team'!E23,'Care Team'!J23))&amp;""))="SCHEDULED",UPPER(TRIM((IF('Care Team'!J23="",'Care Team'!E23,'Care Team'!J23))&amp;""))="CASUAL")),1,0)</f>
        <v/>
      </c>
      <c r="E82" s="96">
        <f>IF(OR(C82=1,D82=1),TRIM(B82),"")</f>
        <v/>
      </c>
      <c r="F82" s="96">
        <f>IF(E82="","",IF(COUNTIF($E$70:E82,E82)=1,ROW(),""))</f>
        <v/>
      </c>
      <c r="G82" s="34">
        <f>IF(C82=1,IFERROR('Care Team'!F23*'Care Team'!G23,0),0)</f>
        <v/>
      </c>
      <c r="H82" s="34">
        <f>IF(D82=1,IFERROR((IF('Care Team'!K23="",'Care Team'!F23,'Care Team'!K23))*(IF('Care Team'!L23="",'Care Team'!G23,'Care Team'!L23)),0),0)</f>
        <v/>
      </c>
      <c r="I82" s="98">
        <f>IF('Care Team'!I23="","",'Care Team'!I23)</f>
        <v/>
      </c>
      <c r="J82" s="34">
        <f>IF(E82="","",G82*$B$6+G82*$B$6*$B$20+(G82/7)*$B$22*$B$21+(G82*$B$6+G82*$B$6*$B$20+(G82/7)*$B$22*$B$21)*IF(I82="",$B$19,I82))</f>
        <v/>
      </c>
      <c r="K82" s="34">
        <f>IF(E82="","",H82*$B$6+H82*$B$6*$B$20+(H82/7)*$B$22*$B$21+(H82*$B$6+H82*$B$6*$B$20+(H82/7)*$B$22*$B$21)*IF(AA82="",$B$19,AA82))</f>
        <v/>
      </c>
      <c r="L82" s="96">
        <f>IF(C82=1,IFERROR('Care Team'!H23,0),0)</f>
        <v/>
      </c>
      <c r="M82" s="96">
        <f>IF(D82=1,IFERROR(IF('Care Team'!M23="",'Care Team'!H23,'Care Team'!M23),0),0)</f>
        <v/>
      </c>
      <c r="N82" s="96">
        <f>'Care Team'!D23</f>
        <v/>
      </c>
      <c r="O82" s="96">
        <f>IF(C82=1,IFERROR('Care Team'!F23,0),0)</f>
        <v/>
      </c>
      <c r="P82" s="96">
        <f>IF(D82=1,IFERROR(IF('Care Team'!K23="",'Care Team'!F23,'Care Team'!K23),0),0)</f>
        <v/>
      </c>
      <c r="Q82" s="34">
        <f>IF(OR(F82="",COUNT($F$70:F82)&gt;20),0,SUMIF($E$70:$E$84,E82,$J$70:$J$84))</f>
        <v/>
      </c>
      <c r="R82" s="34">
        <f>IF(OR(F82="",COUNT($F$70:F82)&gt;20),0,SUMIF($E$70:$E$84,E82,$K$70:$K$84))</f>
        <v/>
      </c>
      <c r="S82" s="34">
        <f>MAX(0,MIN(Q82,$B$14)-$B$13)*$B$12</f>
        <v/>
      </c>
      <c r="T82" s="34">
        <f>MAX(0,MIN(Q82,$B$16)-$B$14)*$B$15</f>
        <v/>
      </c>
      <c r="U82" s="34">
        <f>MIN(Q82,$B$18)*$B$17</f>
        <v/>
      </c>
      <c r="V82" s="34">
        <f>Q82*$B$11</f>
        <v/>
      </c>
      <c r="W82" s="34">
        <f>MAX(0,MIN(R82,$B$14)-$B$13)*$B$12</f>
        <v/>
      </c>
      <c r="X82" s="34">
        <f>MAX(0,MIN(R82,$B$16)-$B$14)*$B$15</f>
        <v/>
      </c>
      <c r="Y82" s="34">
        <f>MIN(R82,$B$18)*$B$17</f>
        <v/>
      </c>
      <c r="Z82" s="34">
        <f>R82*$B$11</f>
        <v/>
      </c>
      <c r="AA82" s="98">
        <f>IF('Care Team'!N23="",I82,'Care Team'!N23)</f>
        <v/>
      </c>
      <c r="AB82" s="96">
        <f>IF(OR(F82="",D82&lt;&gt;1),"",IF(SUMPRODUCT(($E$70:$E$84=E82)*($D$70:$D$84=1)*($AC$70:$AC$84&lt;&gt;AC82))&gt;0,"Vacation % differs across this person's active components.",""))</f>
        <v/>
      </c>
      <c r="AC82" s="98">
        <f>IF(D82&lt;&gt;1,"",IF(AA82="",$B$19,AA82))</f>
        <v/>
      </c>
      <c r="AD82" s="97">
        <f>IF('Care Team'!J23="",0,1)+COUNT('Care Team'!K23)+COUNT('Care Team'!L23)+COUNT('Care Team'!M23)+COUNT('Care Team'!N23)</f>
        <v/>
      </c>
    </row>
    <row r="83">
      <c r="A83" s="96" t="n">
        <v>14</v>
      </c>
      <c r="B83" s="96">
        <f>IF('Care Team'!B24="","",'Care Team'!B24)</f>
        <v/>
      </c>
      <c r="C83" s="96">
        <f>IF(AND(TRIM('Care Team'!B24)&lt;&gt;"",OR(UPPER(TRIM('Care Team'!E24&amp;""))="SCHEDULED",UPPER(TRIM('Care Team'!E24&amp;""))="CASUAL")),1,0)</f>
        <v/>
      </c>
      <c r="D83" s="96">
        <f>IF(AND(TRIM('Care Team'!B24)&lt;&gt;"",OR(UPPER(TRIM((IF('Care Team'!J24="",'Care Team'!E24,'Care Team'!J24))&amp;""))="SCHEDULED",UPPER(TRIM((IF('Care Team'!J24="",'Care Team'!E24,'Care Team'!J24))&amp;""))="CASUAL")),1,0)</f>
        <v/>
      </c>
      <c r="E83" s="96">
        <f>IF(OR(C83=1,D83=1),TRIM(B83),"")</f>
        <v/>
      </c>
      <c r="F83" s="96">
        <f>IF(E83="","",IF(COUNTIF($E$70:E83,E83)=1,ROW(),""))</f>
        <v/>
      </c>
      <c r="G83" s="34">
        <f>IF(C83=1,IFERROR('Care Team'!F24*'Care Team'!G24,0),0)</f>
        <v/>
      </c>
      <c r="H83" s="34">
        <f>IF(D83=1,IFERROR((IF('Care Team'!K24="",'Care Team'!F24,'Care Team'!K24))*(IF('Care Team'!L24="",'Care Team'!G24,'Care Team'!L24)),0),0)</f>
        <v/>
      </c>
      <c r="I83" s="98">
        <f>IF('Care Team'!I24="","",'Care Team'!I24)</f>
        <v/>
      </c>
      <c r="J83" s="34">
        <f>IF(E83="","",G83*$B$6+G83*$B$6*$B$20+(G83/7)*$B$22*$B$21+(G83*$B$6+G83*$B$6*$B$20+(G83/7)*$B$22*$B$21)*IF(I83="",$B$19,I83))</f>
        <v/>
      </c>
      <c r="K83" s="34">
        <f>IF(E83="","",H83*$B$6+H83*$B$6*$B$20+(H83/7)*$B$22*$B$21+(H83*$B$6+H83*$B$6*$B$20+(H83/7)*$B$22*$B$21)*IF(AA83="",$B$19,AA83))</f>
        <v/>
      </c>
      <c r="L83" s="96">
        <f>IF(C83=1,IFERROR('Care Team'!H24,0),0)</f>
        <v/>
      </c>
      <c r="M83" s="96">
        <f>IF(D83=1,IFERROR(IF('Care Team'!M24="",'Care Team'!H24,'Care Team'!M24),0),0)</f>
        <v/>
      </c>
      <c r="N83" s="96">
        <f>'Care Team'!D24</f>
        <v/>
      </c>
      <c r="O83" s="96">
        <f>IF(C83=1,IFERROR('Care Team'!F24,0),0)</f>
        <v/>
      </c>
      <c r="P83" s="96">
        <f>IF(D83=1,IFERROR(IF('Care Team'!K24="",'Care Team'!F24,'Care Team'!K24),0),0)</f>
        <v/>
      </c>
      <c r="Q83" s="34">
        <f>IF(OR(F83="",COUNT($F$70:F83)&gt;20),0,SUMIF($E$70:$E$84,E83,$J$70:$J$84))</f>
        <v/>
      </c>
      <c r="R83" s="34">
        <f>IF(OR(F83="",COUNT($F$70:F83)&gt;20),0,SUMIF($E$70:$E$84,E83,$K$70:$K$84))</f>
        <v/>
      </c>
      <c r="S83" s="34">
        <f>MAX(0,MIN(Q83,$B$14)-$B$13)*$B$12</f>
        <v/>
      </c>
      <c r="T83" s="34">
        <f>MAX(0,MIN(Q83,$B$16)-$B$14)*$B$15</f>
        <v/>
      </c>
      <c r="U83" s="34">
        <f>MIN(Q83,$B$18)*$B$17</f>
        <v/>
      </c>
      <c r="V83" s="34">
        <f>Q83*$B$11</f>
        <v/>
      </c>
      <c r="W83" s="34">
        <f>MAX(0,MIN(R83,$B$14)-$B$13)*$B$12</f>
        <v/>
      </c>
      <c r="X83" s="34">
        <f>MAX(0,MIN(R83,$B$16)-$B$14)*$B$15</f>
        <v/>
      </c>
      <c r="Y83" s="34">
        <f>MIN(R83,$B$18)*$B$17</f>
        <v/>
      </c>
      <c r="Z83" s="34">
        <f>R83*$B$11</f>
        <v/>
      </c>
      <c r="AA83" s="98">
        <f>IF('Care Team'!N24="",I83,'Care Team'!N24)</f>
        <v/>
      </c>
      <c r="AB83" s="96">
        <f>IF(OR(F83="",D83&lt;&gt;1),"",IF(SUMPRODUCT(($E$70:$E$84=E83)*($D$70:$D$84=1)*($AC$70:$AC$84&lt;&gt;AC83))&gt;0,"Vacation % differs across this person's active components.",""))</f>
        <v/>
      </c>
      <c r="AC83" s="98">
        <f>IF(D83&lt;&gt;1,"",IF(AA83="",$B$19,AA83))</f>
        <v/>
      </c>
      <c r="AD83" s="97">
        <f>IF('Care Team'!J24="",0,1)+COUNT('Care Team'!K24)+COUNT('Care Team'!L24)+COUNT('Care Team'!M24)+COUNT('Care Team'!N24)</f>
        <v/>
      </c>
    </row>
    <row r="84">
      <c r="A84" s="96" t="n">
        <v>15</v>
      </c>
      <c r="B84" s="96">
        <f>IF('Care Team'!B25="","",'Care Team'!B25)</f>
        <v/>
      </c>
      <c r="C84" s="96">
        <f>IF(AND(TRIM('Care Team'!B25)&lt;&gt;"",OR(UPPER(TRIM('Care Team'!E25&amp;""))="SCHEDULED",UPPER(TRIM('Care Team'!E25&amp;""))="CASUAL")),1,0)</f>
        <v/>
      </c>
      <c r="D84" s="96">
        <f>IF(AND(TRIM('Care Team'!B25)&lt;&gt;"",OR(UPPER(TRIM((IF('Care Team'!J25="",'Care Team'!E25,'Care Team'!J25))&amp;""))="SCHEDULED",UPPER(TRIM((IF('Care Team'!J25="",'Care Team'!E25,'Care Team'!J25))&amp;""))="CASUAL")),1,0)</f>
        <v/>
      </c>
      <c r="E84" s="96">
        <f>IF(OR(C84=1,D84=1),TRIM(B84),"")</f>
        <v/>
      </c>
      <c r="F84" s="96">
        <f>IF(E84="","",IF(COUNTIF($E$70:E84,E84)=1,ROW(),""))</f>
        <v/>
      </c>
      <c r="G84" s="34">
        <f>IF(C84=1,IFERROR('Care Team'!F25*'Care Team'!G25,0),0)</f>
        <v/>
      </c>
      <c r="H84" s="34">
        <f>IF(D84=1,IFERROR((IF('Care Team'!K25="",'Care Team'!F25,'Care Team'!K25))*(IF('Care Team'!L25="",'Care Team'!G25,'Care Team'!L25)),0),0)</f>
        <v/>
      </c>
      <c r="I84" s="98">
        <f>IF('Care Team'!I25="","",'Care Team'!I25)</f>
        <v/>
      </c>
      <c r="J84" s="34">
        <f>IF(E84="","",G84*$B$6+G84*$B$6*$B$20+(G84/7)*$B$22*$B$21+(G84*$B$6+G84*$B$6*$B$20+(G84/7)*$B$22*$B$21)*IF(I84="",$B$19,I84))</f>
        <v/>
      </c>
      <c r="K84" s="34">
        <f>IF(E84="","",H84*$B$6+H84*$B$6*$B$20+(H84/7)*$B$22*$B$21+(H84*$B$6+H84*$B$6*$B$20+(H84/7)*$B$22*$B$21)*IF(AA84="",$B$19,AA84))</f>
        <v/>
      </c>
      <c r="L84" s="96">
        <f>IF(C84=1,IFERROR('Care Team'!H25,0),0)</f>
        <v/>
      </c>
      <c r="M84" s="96">
        <f>IF(D84=1,IFERROR(IF('Care Team'!M25="",'Care Team'!H25,'Care Team'!M25),0),0)</f>
        <v/>
      </c>
      <c r="N84" s="96">
        <f>'Care Team'!D25</f>
        <v/>
      </c>
      <c r="O84" s="96">
        <f>IF(C84=1,IFERROR('Care Team'!F25,0),0)</f>
        <v/>
      </c>
      <c r="P84" s="96">
        <f>IF(D84=1,IFERROR(IF('Care Team'!K25="",'Care Team'!F25,'Care Team'!K25),0),0)</f>
        <v/>
      </c>
      <c r="Q84" s="34">
        <f>IF(OR(F84="",COUNT($F$70:F84)&gt;20),0,SUMIF($E$70:$E$84,E84,$J$70:$J$84))</f>
        <v/>
      </c>
      <c r="R84" s="34">
        <f>IF(OR(F84="",COUNT($F$70:F84)&gt;20),0,SUMIF($E$70:$E$84,E84,$K$70:$K$84))</f>
        <v/>
      </c>
      <c r="S84" s="34">
        <f>MAX(0,MIN(Q84,$B$14)-$B$13)*$B$12</f>
        <v/>
      </c>
      <c r="T84" s="34">
        <f>MAX(0,MIN(Q84,$B$16)-$B$14)*$B$15</f>
        <v/>
      </c>
      <c r="U84" s="34">
        <f>MIN(Q84,$B$18)*$B$17</f>
        <v/>
      </c>
      <c r="V84" s="34">
        <f>Q84*$B$11</f>
        <v/>
      </c>
      <c r="W84" s="34">
        <f>MAX(0,MIN(R84,$B$14)-$B$13)*$B$12</f>
        <v/>
      </c>
      <c r="X84" s="34">
        <f>MAX(0,MIN(R84,$B$16)-$B$14)*$B$15</f>
        <v/>
      </c>
      <c r="Y84" s="34">
        <f>MIN(R84,$B$18)*$B$17</f>
        <v/>
      </c>
      <c r="Z84" s="34">
        <f>R84*$B$11</f>
        <v/>
      </c>
      <c r="AA84" s="98">
        <f>IF('Care Team'!N25="",I84,'Care Team'!N25)</f>
        <v/>
      </c>
      <c r="AB84" s="96">
        <f>IF(OR(F84="",D84&lt;&gt;1),"",IF(SUMPRODUCT(($E$70:$E$84=E84)*($D$70:$D$84=1)*($AC$70:$AC$84&lt;&gt;AC84))&gt;0,"Vacation % differs across this person's active components.",""))</f>
        <v/>
      </c>
      <c r="AC84" s="98">
        <f>IF(D84&lt;&gt;1,"",IF(AA84="",$B$19,AA84))</f>
        <v/>
      </c>
      <c r="AD84" s="97">
        <f>IF('Care Team'!J25="",0,1)+COUNT('Care Team'!K25)+COUNT('Care Team'!L25)+COUNT('Care Team'!M25)+COUNT('Care Team'!N25)</f>
        <v/>
      </c>
    </row>
    <row r="86">
      <c r="A86" s="88" t="inlineStr">
        <is>
          <t>Casual rows remain in the person roster when status is Casual, even with zero recurring units. Person-level payroll is calculated on the first helper row for each name, up to 20 people.</t>
        </is>
      </c>
    </row>
    <row r="90">
      <c r="A90" s="93" t="inlineStr">
        <is>
          <t>EFFECTIVE PROPOSED TEAM — VALUES-ONLY ADOPTION SOURCE</t>
        </is>
      </c>
    </row>
    <row r="91">
      <c r="A91" s="43" t="inlineStr">
        <is>
          <t>Worker</t>
        </is>
      </c>
      <c r="B91" s="43" t="inlineStr">
        <is>
          <t>Shift / component</t>
        </is>
      </c>
      <c r="C91" s="43" t="inlineStr">
        <is>
          <t>Pay unit</t>
        </is>
      </c>
      <c r="D91" s="43" t="inlineStr">
        <is>
          <t>Status</t>
        </is>
      </c>
      <c r="E91" s="43" t="inlineStr">
        <is>
          <t>Paid units / week</t>
        </is>
      </c>
      <c r="F91" s="43" t="inlineStr">
        <is>
          <t>Rate / unit</t>
        </is>
      </c>
      <c r="G91" s="43" t="inlineStr">
        <is>
          <t>Care hours / week</t>
        </is>
      </c>
      <c r="H91" s="43" t="inlineStr">
        <is>
          <t>Vacation %</t>
        </is>
      </c>
    </row>
    <row r="92">
      <c r="A92" s="96">
        <f>'Care Team'!B11</f>
        <v/>
      </c>
      <c r="B92" s="96">
        <f>'Care Team'!C11</f>
        <v/>
      </c>
      <c r="C92" s="96">
        <f>'Care Team'!D11</f>
        <v/>
      </c>
      <c r="D92" s="96">
        <f>IF('Care Team'!J11="",'Care Team'!E11,'Care Team'!J11)</f>
        <v/>
      </c>
      <c r="E92" s="96">
        <f>IF('Care Team'!K11="",'Care Team'!F11,'Care Team'!K11)</f>
        <v/>
      </c>
      <c r="F92" s="34">
        <f>IF('Care Team'!L11="",'Care Team'!G11,'Care Team'!L11)</f>
        <v/>
      </c>
      <c r="G92" s="96">
        <f>IF('Care Team'!M11="",'Care Team'!H11,'Care Team'!M11)</f>
        <v/>
      </c>
      <c r="H92" s="95">
        <f>IF('Care Team'!N11="",'Care Team'!I11,'Care Team'!N11)</f>
        <v/>
      </c>
    </row>
    <row r="93">
      <c r="A93" s="96">
        <f>'Care Team'!B12</f>
        <v/>
      </c>
      <c r="B93" s="96">
        <f>'Care Team'!C12</f>
        <v/>
      </c>
      <c r="C93" s="96">
        <f>'Care Team'!D12</f>
        <v/>
      </c>
      <c r="D93" s="96">
        <f>IF('Care Team'!J12="",'Care Team'!E12,'Care Team'!J12)</f>
        <v/>
      </c>
      <c r="E93" s="96">
        <f>IF('Care Team'!K12="",'Care Team'!F12,'Care Team'!K12)</f>
        <v/>
      </c>
      <c r="F93" s="34">
        <f>IF('Care Team'!L12="",'Care Team'!G12,'Care Team'!L12)</f>
        <v/>
      </c>
      <c r="G93" s="96">
        <f>IF('Care Team'!M12="",'Care Team'!H12,'Care Team'!M12)</f>
        <v/>
      </c>
      <c r="H93" s="95">
        <f>IF('Care Team'!N12="",'Care Team'!I12,'Care Team'!N12)</f>
        <v/>
      </c>
    </row>
    <row r="94">
      <c r="A94" s="96">
        <f>'Care Team'!B13</f>
        <v/>
      </c>
      <c r="B94" s="96">
        <f>'Care Team'!C13</f>
        <v/>
      </c>
      <c r="C94" s="96">
        <f>'Care Team'!D13</f>
        <v/>
      </c>
      <c r="D94" s="96">
        <f>IF('Care Team'!J13="",'Care Team'!E13,'Care Team'!J13)</f>
        <v/>
      </c>
      <c r="E94" s="96">
        <f>IF('Care Team'!K13="",'Care Team'!F13,'Care Team'!K13)</f>
        <v/>
      </c>
      <c r="F94" s="34">
        <f>IF('Care Team'!L13="",'Care Team'!G13,'Care Team'!L13)</f>
        <v/>
      </c>
      <c r="G94" s="96">
        <f>IF('Care Team'!M13="",'Care Team'!H13,'Care Team'!M13)</f>
        <v/>
      </c>
      <c r="H94" s="95">
        <f>IF('Care Team'!N13="",'Care Team'!I13,'Care Team'!N13)</f>
        <v/>
      </c>
    </row>
    <row r="95">
      <c r="A95" s="96">
        <f>'Care Team'!B14</f>
        <v/>
      </c>
      <c r="B95" s="96">
        <f>'Care Team'!C14</f>
        <v/>
      </c>
      <c r="C95" s="96">
        <f>'Care Team'!D14</f>
        <v/>
      </c>
      <c r="D95" s="96">
        <f>IF('Care Team'!J14="",'Care Team'!E14,'Care Team'!J14)</f>
        <v/>
      </c>
      <c r="E95" s="96">
        <f>IF('Care Team'!K14="",'Care Team'!F14,'Care Team'!K14)</f>
        <v/>
      </c>
      <c r="F95" s="34">
        <f>IF('Care Team'!L14="",'Care Team'!G14,'Care Team'!L14)</f>
        <v/>
      </c>
      <c r="G95" s="96">
        <f>IF('Care Team'!M14="",'Care Team'!H14,'Care Team'!M14)</f>
        <v/>
      </c>
      <c r="H95" s="95">
        <f>IF('Care Team'!N14="",'Care Team'!I14,'Care Team'!N14)</f>
        <v/>
      </c>
    </row>
    <row r="96">
      <c r="A96" s="96">
        <f>'Care Team'!B15</f>
        <v/>
      </c>
      <c r="B96" s="96">
        <f>'Care Team'!C15</f>
        <v/>
      </c>
      <c r="C96" s="96">
        <f>'Care Team'!D15</f>
        <v/>
      </c>
      <c r="D96" s="96">
        <f>IF('Care Team'!J15="",'Care Team'!E15,'Care Team'!J15)</f>
        <v/>
      </c>
      <c r="E96" s="96">
        <f>IF('Care Team'!K15="",'Care Team'!F15,'Care Team'!K15)</f>
        <v/>
      </c>
      <c r="F96" s="34">
        <f>IF('Care Team'!L15="",'Care Team'!G15,'Care Team'!L15)</f>
        <v/>
      </c>
      <c r="G96" s="96">
        <f>IF('Care Team'!M15="",'Care Team'!H15,'Care Team'!M15)</f>
        <v/>
      </c>
      <c r="H96" s="95">
        <f>IF('Care Team'!N15="",'Care Team'!I15,'Care Team'!N15)</f>
        <v/>
      </c>
    </row>
    <row r="97">
      <c r="A97" s="96">
        <f>'Care Team'!B16</f>
        <v/>
      </c>
      <c r="B97" s="96">
        <f>'Care Team'!C16</f>
        <v/>
      </c>
      <c r="C97" s="96">
        <f>'Care Team'!D16</f>
        <v/>
      </c>
      <c r="D97" s="96">
        <f>IF('Care Team'!J16="",'Care Team'!E16,'Care Team'!J16)</f>
        <v/>
      </c>
      <c r="E97" s="96">
        <f>IF('Care Team'!K16="",'Care Team'!F16,'Care Team'!K16)</f>
        <v/>
      </c>
      <c r="F97" s="34">
        <f>IF('Care Team'!L16="",'Care Team'!G16,'Care Team'!L16)</f>
        <v/>
      </c>
      <c r="G97" s="96">
        <f>IF('Care Team'!M16="",'Care Team'!H16,'Care Team'!M16)</f>
        <v/>
      </c>
      <c r="H97" s="95">
        <f>IF('Care Team'!N16="",'Care Team'!I16,'Care Team'!N16)</f>
        <v/>
      </c>
    </row>
    <row r="98">
      <c r="A98" s="96">
        <f>'Care Team'!B17</f>
        <v/>
      </c>
      <c r="B98" s="96">
        <f>'Care Team'!C17</f>
        <v/>
      </c>
      <c r="C98" s="96">
        <f>'Care Team'!D17</f>
        <v/>
      </c>
      <c r="D98" s="96">
        <f>IF('Care Team'!J17="",'Care Team'!E17,'Care Team'!J17)</f>
        <v/>
      </c>
      <c r="E98" s="96">
        <f>IF('Care Team'!K17="",'Care Team'!F17,'Care Team'!K17)</f>
        <v/>
      </c>
      <c r="F98" s="34">
        <f>IF('Care Team'!L17="",'Care Team'!G17,'Care Team'!L17)</f>
        <v/>
      </c>
      <c r="G98" s="96">
        <f>IF('Care Team'!M17="",'Care Team'!H17,'Care Team'!M17)</f>
        <v/>
      </c>
      <c r="H98" s="95">
        <f>IF('Care Team'!N17="",'Care Team'!I17,'Care Team'!N17)</f>
        <v/>
      </c>
    </row>
    <row r="99">
      <c r="A99" s="96">
        <f>'Care Team'!B18</f>
        <v/>
      </c>
      <c r="B99" s="96">
        <f>'Care Team'!C18</f>
        <v/>
      </c>
      <c r="C99" s="96">
        <f>'Care Team'!D18</f>
        <v/>
      </c>
      <c r="D99" s="96">
        <f>IF('Care Team'!J18="",'Care Team'!E18,'Care Team'!J18)</f>
        <v/>
      </c>
      <c r="E99" s="96">
        <f>IF('Care Team'!K18="",'Care Team'!F18,'Care Team'!K18)</f>
        <v/>
      </c>
      <c r="F99" s="34">
        <f>IF('Care Team'!L18="",'Care Team'!G18,'Care Team'!L18)</f>
        <v/>
      </c>
      <c r="G99" s="96">
        <f>IF('Care Team'!M18="",'Care Team'!H18,'Care Team'!M18)</f>
        <v/>
      </c>
      <c r="H99" s="95">
        <f>IF('Care Team'!N18="",'Care Team'!I18,'Care Team'!N18)</f>
        <v/>
      </c>
    </row>
    <row r="100">
      <c r="A100" s="96">
        <f>'Care Team'!B19</f>
        <v/>
      </c>
      <c r="B100" s="96">
        <f>'Care Team'!C19</f>
        <v/>
      </c>
      <c r="C100" s="96">
        <f>'Care Team'!D19</f>
        <v/>
      </c>
      <c r="D100" s="96">
        <f>IF('Care Team'!J19="",'Care Team'!E19,'Care Team'!J19)</f>
        <v/>
      </c>
      <c r="E100" s="96">
        <f>IF('Care Team'!K19="",'Care Team'!F19,'Care Team'!K19)</f>
        <v/>
      </c>
      <c r="F100" s="34">
        <f>IF('Care Team'!L19="",'Care Team'!G19,'Care Team'!L19)</f>
        <v/>
      </c>
      <c r="G100" s="96">
        <f>IF('Care Team'!M19="",'Care Team'!H19,'Care Team'!M19)</f>
        <v/>
      </c>
      <c r="H100" s="95">
        <f>IF('Care Team'!N19="",'Care Team'!I19,'Care Team'!N19)</f>
        <v/>
      </c>
    </row>
    <row r="101">
      <c r="A101" s="96">
        <f>'Care Team'!B20</f>
        <v/>
      </c>
      <c r="B101" s="96">
        <f>'Care Team'!C20</f>
        <v/>
      </c>
      <c r="C101" s="96">
        <f>'Care Team'!D20</f>
        <v/>
      </c>
      <c r="D101" s="96">
        <f>IF('Care Team'!J20="",'Care Team'!E20,'Care Team'!J20)</f>
        <v/>
      </c>
      <c r="E101" s="96">
        <f>IF('Care Team'!K20="",'Care Team'!F20,'Care Team'!K20)</f>
        <v/>
      </c>
      <c r="F101" s="34">
        <f>IF('Care Team'!L20="",'Care Team'!G20,'Care Team'!L20)</f>
        <v/>
      </c>
      <c r="G101" s="96">
        <f>IF('Care Team'!M20="",'Care Team'!H20,'Care Team'!M20)</f>
        <v/>
      </c>
      <c r="H101" s="95">
        <f>IF('Care Team'!N20="",'Care Team'!I20,'Care Team'!N20)</f>
        <v/>
      </c>
    </row>
    <row r="102">
      <c r="A102" s="96">
        <f>'Care Team'!B21</f>
        <v/>
      </c>
      <c r="B102" s="96">
        <f>'Care Team'!C21</f>
        <v/>
      </c>
      <c r="C102" s="96">
        <f>'Care Team'!D21</f>
        <v/>
      </c>
      <c r="D102" s="96">
        <f>IF('Care Team'!J21="",'Care Team'!E21,'Care Team'!J21)</f>
        <v/>
      </c>
      <c r="E102" s="96">
        <f>IF('Care Team'!K21="",'Care Team'!F21,'Care Team'!K21)</f>
        <v/>
      </c>
      <c r="F102" s="34">
        <f>IF('Care Team'!L21="",'Care Team'!G21,'Care Team'!L21)</f>
        <v/>
      </c>
      <c r="G102" s="96">
        <f>IF('Care Team'!M21="",'Care Team'!H21,'Care Team'!M21)</f>
        <v/>
      </c>
      <c r="H102" s="95">
        <f>IF('Care Team'!N21="",'Care Team'!I21,'Care Team'!N21)</f>
        <v/>
      </c>
    </row>
    <row r="103">
      <c r="A103" s="96">
        <f>'Care Team'!B22</f>
        <v/>
      </c>
      <c r="B103" s="96">
        <f>'Care Team'!C22</f>
        <v/>
      </c>
      <c r="C103" s="96">
        <f>'Care Team'!D22</f>
        <v/>
      </c>
      <c r="D103" s="96">
        <f>IF('Care Team'!J22="",'Care Team'!E22,'Care Team'!J22)</f>
        <v/>
      </c>
      <c r="E103" s="96">
        <f>IF('Care Team'!K22="",'Care Team'!F22,'Care Team'!K22)</f>
        <v/>
      </c>
      <c r="F103" s="34">
        <f>IF('Care Team'!L22="",'Care Team'!G22,'Care Team'!L22)</f>
        <v/>
      </c>
      <c r="G103" s="96">
        <f>IF('Care Team'!M22="",'Care Team'!H22,'Care Team'!M22)</f>
        <v/>
      </c>
      <c r="H103" s="95">
        <f>IF('Care Team'!N22="",'Care Team'!I22,'Care Team'!N22)</f>
        <v/>
      </c>
    </row>
    <row r="104">
      <c r="A104" s="96">
        <f>'Care Team'!B23</f>
        <v/>
      </c>
      <c r="B104" s="96">
        <f>'Care Team'!C23</f>
        <v/>
      </c>
      <c r="C104" s="96">
        <f>'Care Team'!D23</f>
        <v/>
      </c>
      <c r="D104" s="96">
        <f>IF('Care Team'!J23="",'Care Team'!E23,'Care Team'!J23)</f>
        <v/>
      </c>
      <c r="E104" s="96">
        <f>IF('Care Team'!K23="",'Care Team'!F23,'Care Team'!K23)</f>
        <v/>
      </c>
      <c r="F104" s="34">
        <f>IF('Care Team'!L23="",'Care Team'!G23,'Care Team'!L23)</f>
        <v/>
      </c>
      <c r="G104" s="96">
        <f>IF('Care Team'!M23="",'Care Team'!H23,'Care Team'!M23)</f>
        <v/>
      </c>
      <c r="H104" s="95">
        <f>IF('Care Team'!N23="",'Care Team'!I23,'Care Team'!N23)</f>
        <v/>
      </c>
    </row>
    <row r="105">
      <c r="A105" s="96">
        <f>'Care Team'!B24</f>
        <v/>
      </c>
      <c r="B105" s="96">
        <f>'Care Team'!C24</f>
        <v/>
      </c>
      <c r="C105" s="96">
        <f>'Care Team'!D24</f>
        <v/>
      </c>
      <c r="D105" s="96">
        <f>IF('Care Team'!J24="",'Care Team'!E24,'Care Team'!J24)</f>
        <v/>
      </c>
      <c r="E105" s="96">
        <f>IF('Care Team'!K24="",'Care Team'!F24,'Care Team'!K24)</f>
        <v/>
      </c>
      <c r="F105" s="34">
        <f>IF('Care Team'!L24="",'Care Team'!G24,'Care Team'!L24)</f>
        <v/>
      </c>
      <c r="G105" s="96">
        <f>IF('Care Team'!M24="",'Care Team'!H24,'Care Team'!M24)</f>
        <v/>
      </c>
      <c r="H105" s="95">
        <f>IF('Care Team'!N24="",'Care Team'!I24,'Care Team'!N24)</f>
        <v/>
      </c>
    </row>
    <row r="106">
      <c r="A106" s="96">
        <f>'Care Team'!B25</f>
        <v/>
      </c>
      <c r="B106" s="96">
        <f>'Care Team'!C25</f>
        <v/>
      </c>
      <c r="C106" s="96">
        <f>'Care Team'!D25</f>
        <v/>
      </c>
      <c r="D106" s="96">
        <f>IF('Care Team'!J25="",'Care Team'!E25,'Care Team'!J25)</f>
        <v/>
      </c>
      <c r="E106" s="96">
        <f>IF('Care Team'!K25="",'Care Team'!F25,'Care Team'!K25)</f>
        <v/>
      </c>
      <c r="F106" s="34">
        <f>IF('Care Team'!L25="",'Care Team'!G25,'Care Team'!L25)</f>
        <v/>
      </c>
      <c r="G106" s="96">
        <f>IF('Care Team'!M25="",'Care Team'!H25,'Care Team'!M25)</f>
        <v/>
      </c>
      <c r="H106" s="95">
        <f>IF('Care Team'!N25="",'Care Team'!I25,'Care Team'!N25)</f>
        <v/>
      </c>
    </row>
  </sheetData>
  <sheetProtection selectLockedCells="0" selectUnlockedCells="0" sheet="1" objects="0" insertRows="1" insertHyperlinks="1" autoFilter="0" scenarios="0" formatColumns="1" deleteColumns="1" insertColumns="1" pivotTables="1" deleteRows="1" formatCells="1" formatRows="1" sort="0"/>
  <mergeCells count="4">
    <mergeCell ref="A2:L2"/>
    <mergeCell ref="A86:L86"/>
    <mergeCell ref="A90:H90"/>
    <mergeCell ref="A1:L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itle>Care Team Budget Planner v1.2 unreleased preview (calculation contract 1.0.0)</dc:title>
  <dc:subject>Unreleased v1.2 domain workbook preview. Synthetic when sample=True. Not the v1.0.0 release.</dc:subject>
  <dcterms:created xsi:type="dcterms:W3CDTF">2026-10-04T22:29:46Z</dcterms:created>
  <dcterms:modified xsi:type="dcterms:W3CDTF">2026-10-04T22:29:46Z</dcterms:modified>
</cp:coreProperties>
</file>